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arry\Desktop\"/>
    </mc:Choice>
  </mc:AlternateContent>
  <workbookProtection workbookAlgorithmName="SHA-512" workbookHashValue="4mgkJFmXQjI6lrsm/BMaWKt/F2prUEacEb6YZxGTnCmvluQKfAdCBBdA8QYITskCyUBKKDOe8hXIODxEm0ZDfg==" workbookSaltValue="llGRhaxSSyYwtl7FFavRGw==" workbookSpinCount="100000" lockStructure="1"/>
  <bookViews>
    <workbookView xWindow="0" yWindow="0" windowWidth="28800" windowHeight="12300"/>
  </bookViews>
  <sheets>
    <sheet name="Identification" sheetId="1" r:id="rId1"/>
    <sheet name="Problem" sheetId="2" r:id="rId2"/>
  </sheets>
  <definedNames>
    <definedName name="account">Problem!$N$14:$N$20</definedName>
    <definedName name="account2">Problem!$N$75:$N$88</definedName>
    <definedName name="Value">Problem!$N$21:$N$29</definedName>
    <definedName name="value2">Problem!$N$89:$N$102</definedName>
  </definedNames>
  <calcPr calcId="162913"/>
</workbook>
</file>

<file path=xl/calcChain.xml><?xml version="1.0" encoding="utf-8"?>
<calcChain xmlns="http://schemas.openxmlformats.org/spreadsheetml/2006/main">
  <c r="U88" i="2" l="1"/>
  <c r="U87" i="2"/>
  <c r="M89" i="2" l="1"/>
  <c r="M90" i="2"/>
  <c r="M91" i="2"/>
  <c r="M92" i="2"/>
  <c r="M93" i="2"/>
  <c r="M94" i="2"/>
  <c r="M78" i="2"/>
  <c r="M79" i="2"/>
  <c r="M80" i="2"/>
  <c r="M81" i="2"/>
  <c r="M82" i="2"/>
  <c r="M77" i="2"/>
  <c r="B68" i="2" l="1"/>
  <c r="B69" i="2"/>
  <c r="B70" i="2"/>
  <c r="B71" i="2"/>
  <c r="B72" i="2"/>
  <c r="B73" i="2"/>
  <c r="B67" i="2"/>
  <c r="B37" i="2"/>
  <c r="V94" i="2" l="1"/>
  <c r="Z94" i="2" s="1"/>
  <c r="V92" i="2"/>
  <c r="Z92" i="2" s="1"/>
  <c r="Y88" i="2"/>
  <c r="Y87" i="2"/>
  <c r="Y94" i="2"/>
  <c r="Y93" i="2"/>
  <c r="Y92" i="2"/>
  <c r="Y91" i="2"/>
  <c r="Y90" i="2"/>
  <c r="Y89" i="2"/>
  <c r="Z81" i="2"/>
  <c r="Y78" i="2"/>
  <c r="Y79" i="2"/>
  <c r="Y80" i="2"/>
  <c r="Y81" i="2"/>
  <c r="Y82" i="2"/>
  <c r="Y77" i="2"/>
  <c r="Y58" i="2" l="1"/>
  <c r="Y57" i="2"/>
  <c r="Y56" i="2"/>
  <c r="N91" i="2" l="1"/>
  <c r="N92" i="2"/>
  <c r="N102" i="2"/>
  <c r="N83" i="2"/>
  <c r="N88" i="2"/>
  <c r="N87" i="2"/>
  <c r="N79" i="2"/>
  <c r="N77" i="2"/>
  <c r="N82" i="2"/>
  <c r="N76" i="2"/>
  <c r="N80" i="2"/>
  <c r="N81" i="2"/>
  <c r="N85" i="2"/>
  <c r="N86" i="2"/>
  <c r="N78" i="2"/>
  <c r="N84" i="2"/>
  <c r="N17" i="2"/>
  <c r="N16" i="2"/>
  <c r="N18" i="2"/>
  <c r="N15" i="2"/>
  <c r="N20" i="2"/>
  <c r="N19" i="2"/>
  <c r="N96" i="2"/>
  <c r="V93" i="2"/>
  <c r="Z93" i="2" s="1"/>
  <c r="V91" i="2"/>
  <c r="V89" i="2"/>
  <c r="V80" i="2"/>
  <c r="Z80" i="2" s="1"/>
  <c r="V79" i="2"/>
  <c r="Z79" i="2" s="1"/>
  <c r="V77" i="2"/>
  <c r="P63" i="2"/>
  <c r="B63" i="2" s="1"/>
  <c r="Z89" i="2" l="1"/>
  <c r="N97" i="2"/>
  <c r="N93" i="2"/>
  <c r="V90" i="2"/>
  <c r="Z90" i="2" s="1"/>
  <c r="N90" i="2"/>
  <c r="Z91" i="2"/>
  <c r="V78" i="2"/>
  <c r="Z77" i="2"/>
  <c r="N94" i="2"/>
  <c r="V82" i="2"/>
  <c r="N100" i="2"/>
  <c r="AJ17" i="2"/>
  <c r="AI17" i="2"/>
  <c r="AH17" i="2"/>
  <c r="AG17" i="2"/>
  <c r="AJ16" i="2"/>
  <c r="AI16" i="2"/>
  <c r="AH16" i="2"/>
  <c r="AG16" i="2"/>
  <c r="AJ15" i="2"/>
  <c r="AI15" i="2"/>
  <c r="AH15" i="2"/>
  <c r="AG15" i="2"/>
  <c r="N101" i="2" l="1"/>
  <c r="Z82" i="2"/>
  <c r="Z78" i="2"/>
  <c r="N95" i="2"/>
  <c r="N98" i="2"/>
  <c r="Z87" i="2"/>
  <c r="M88" i="2" s="1"/>
  <c r="N99" i="2"/>
  <c r="Z88" i="2"/>
  <c r="M87" i="2" s="1"/>
  <c r="B19" i="1"/>
  <c r="G71" i="1" s="1"/>
  <c r="AI3" i="2" s="1"/>
  <c r="B16" i="1"/>
  <c r="B17" i="1" s="1"/>
  <c r="B13" i="1"/>
  <c r="B14" i="1" s="1"/>
  <c r="B10" i="1"/>
  <c r="B11" i="1" s="1"/>
  <c r="B8" i="1"/>
  <c r="B9" i="1" s="1"/>
  <c r="B20" i="1" l="1"/>
  <c r="B21" i="1" s="1"/>
  <c r="B12" i="1"/>
  <c r="B18" i="1"/>
  <c r="E71" i="1"/>
  <c r="B15" i="1"/>
  <c r="G72" i="1"/>
  <c r="AI4" i="2" s="1"/>
  <c r="F71" i="1"/>
  <c r="B23" i="1" l="1"/>
  <c r="C69" i="1" s="1"/>
  <c r="F72" i="1"/>
  <c r="AH4" i="2" s="1"/>
  <c r="AH3" i="2"/>
  <c r="E72" i="1"/>
  <c r="AG4" i="2" s="1"/>
  <c r="AG3" i="2"/>
  <c r="C52" i="1" l="1"/>
  <c r="C64" i="1"/>
  <c r="C32" i="1"/>
  <c r="C59" i="1"/>
  <c r="C46" i="1"/>
  <c r="C44" i="1"/>
  <c r="C38" i="1"/>
  <c r="C56" i="1"/>
  <c r="C60" i="1"/>
  <c r="C62" i="1"/>
  <c r="C36" i="1"/>
  <c r="C57" i="1"/>
  <c r="D71" i="1"/>
  <c r="D72" i="1" s="1"/>
  <c r="C68" i="1"/>
  <c r="C70" i="1"/>
  <c r="C51" i="1"/>
  <c r="C34" i="1"/>
  <c r="C41" i="1"/>
  <c r="C31" i="1"/>
  <c r="C33" i="1"/>
  <c r="C29" i="1"/>
  <c r="C39" i="1"/>
  <c r="C42" i="1"/>
  <c r="C65" i="1"/>
  <c r="C45" i="1"/>
  <c r="C55" i="1"/>
  <c r="C50" i="1"/>
  <c r="C27" i="1"/>
  <c r="C53" i="1"/>
  <c r="C63" i="1"/>
  <c r="C66" i="1"/>
  <c r="C35" i="1"/>
  <c r="C30" i="1"/>
  <c r="C47" i="1"/>
  <c r="C26" i="1"/>
  <c r="C48" i="1"/>
  <c r="C43" i="1"/>
  <c r="C37" i="1"/>
  <c r="C54" i="1"/>
  <c r="C67" i="1"/>
  <c r="C61" i="1"/>
  <c r="C40" i="1"/>
  <c r="C58" i="1"/>
  <c r="C49" i="1"/>
  <c r="C28" i="1"/>
  <c r="AF3" i="2" l="1"/>
  <c r="AF14" i="2" s="1"/>
  <c r="C71" i="1"/>
  <c r="H71" i="1" s="1"/>
  <c r="C72" i="1"/>
  <c r="AE4" i="2" s="1"/>
  <c r="AF4" i="2"/>
  <c r="AE3" i="2" l="1"/>
  <c r="AE14" i="2" s="1"/>
  <c r="AE15" i="2" s="1"/>
  <c r="AF15" i="2" s="1"/>
  <c r="C73" i="1"/>
  <c r="AE5" i="2" s="1"/>
  <c r="H72" i="1"/>
  <c r="AJ4" i="2" s="1"/>
  <c r="AJ3" i="2"/>
  <c r="AE16" i="2" l="1"/>
  <c r="AF16" i="2" s="1"/>
  <c r="H73" i="1"/>
  <c r="AJ5" i="2" s="1"/>
  <c r="D73" i="1"/>
  <c r="AF5" i="2" s="1"/>
  <c r="F73" i="1"/>
  <c r="AH5" i="2" s="1"/>
  <c r="C74" i="1"/>
  <c r="AE6" i="2" s="1"/>
  <c r="G73" i="1"/>
  <c r="AI5" i="2" s="1"/>
  <c r="E73" i="1"/>
  <c r="AG5" i="2" s="1"/>
  <c r="AE17" i="2" l="1"/>
  <c r="AF17" i="2" s="1"/>
  <c r="AC17" i="2" s="1"/>
  <c r="H74" i="1"/>
  <c r="AJ6" i="2" s="1"/>
  <c r="F74" i="1"/>
  <c r="AH6" i="2" s="1"/>
  <c r="G74" i="1"/>
  <c r="AI6" i="2" s="1"/>
  <c r="D74" i="1"/>
  <c r="AF6" i="2" s="1"/>
  <c r="E74" i="1"/>
  <c r="AG6" i="2" s="1"/>
  <c r="AD17" i="2" l="1"/>
  <c r="P3" i="2" s="1"/>
  <c r="B3" i="2" s="1"/>
  <c r="AB17" i="2"/>
  <c r="AB21" i="2" s="1"/>
  <c r="T7" i="2"/>
  <c r="F7" i="2" s="1"/>
  <c r="AC21" i="2"/>
  <c r="T12" i="2" s="1"/>
  <c r="F12" i="2" s="1"/>
  <c r="Q12" i="2"/>
  <c r="C12" i="2" s="1"/>
  <c r="Q7" i="2"/>
  <c r="C7" i="2" s="1"/>
  <c r="AA17" i="2"/>
  <c r="AD23" i="2" s="1"/>
  <c r="Q21" i="2" l="1"/>
  <c r="C21" i="2" s="1"/>
  <c r="AB19" i="2"/>
  <c r="Q35" i="2"/>
  <c r="C35" i="2" s="1"/>
  <c r="V12" i="2"/>
  <c r="H12" i="2" s="1"/>
  <c r="U56" i="2"/>
  <c r="Z56" i="2" s="1"/>
  <c r="N58" i="2" s="1"/>
  <c r="V45" i="2"/>
  <c r="AC23" i="2"/>
  <c r="AB23" i="2" s="1"/>
  <c r="U44" i="2"/>
  <c r="N28" i="2" s="1"/>
  <c r="AA19" i="2"/>
  <c r="V7" i="2"/>
  <c r="H7" i="2" s="1"/>
  <c r="AD19" i="2"/>
  <c r="AC19" i="2" s="1"/>
  <c r="Q29" i="2" s="1"/>
  <c r="C29" i="2" s="1"/>
  <c r="P39" i="2" l="1"/>
  <c r="B39" i="2" s="1"/>
  <c r="AA23" i="2"/>
  <c r="U57" i="2" s="1"/>
  <c r="V51" i="2"/>
  <c r="U58" i="2" s="1"/>
  <c r="Z58" i="2" s="1"/>
  <c r="N57" i="2" s="1"/>
  <c r="U50" i="2"/>
  <c r="N22" i="2" s="1"/>
  <c r="U26" i="2"/>
  <c r="N24" i="2" s="1"/>
  <c r="V27" i="2"/>
  <c r="U18" i="2"/>
  <c r="N26" i="2" s="1"/>
  <c r="V19" i="2"/>
  <c r="AD21" i="2"/>
  <c r="Z57" i="2" l="1"/>
  <c r="N56" i="2" s="1"/>
  <c r="N23" i="2"/>
  <c r="V59" i="2"/>
  <c r="N29" i="2" s="1"/>
  <c r="V33" i="2"/>
  <c r="V37" i="2" s="1"/>
  <c r="N27" i="2" s="1"/>
  <c r="U32" i="2"/>
  <c r="N25" i="2" s="1"/>
</calcChain>
</file>

<file path=xl/sharedStrings.xml><?xml version="1.0" encoding="utf-8"?>
<sst xmlns="http://schemas.openxmlformats.org/spreadsheetml/2006/main" count="197" uniqueCount="88">
  <si>
    <t>Student Name:</t>
  </si>
  <si>
    <t>5 Digit Identification Number:</t>
  </si>
  <si>
    <t>Date:</t>
  </si>
  <si>
    <t>Random Number</t>
  </si>
  <si>
    <t>Randon numbers</t>
  </si>
  <si>
    <t>DATE</t>
  </si>
  <si>
    <t>ACCOUNT</t>
  </si>
  <si>
    <t>DEBIT</t>
  </si>
  <si>
    <t>CREDIT</t>
  </si>
  <si>
    <t>.</t>
  </si>
  <si>
    <t>Waranty Est</t>
  </si>
  <si>
    <t>Units Sold</t>
  </si>
  <si>
    <t>Total Sales</t>
  </si>
  <si>
    <t>Unit Price</t>
  </si>
  <si>
    <t>Avg. Selling Price Per Unit</t>
  </si>
  <si>
    <t>A)</t>
  </si>
  <si>
    <t>Sales Information for 20X1</t>
  </si>
  <si>
    <t>12/31/X1</t>
  </si>
  <si>
    <t>Warranty Expense</t>
  </si>
  <si>
    <t>Warranty Liability</t>
  </si>
  <si>
    <t>B)</t>
  </si>
  <si>
    <t>Prepare the appropriate journal entries for the below events occurring during 20X2</t>
  </si>
  <si>
    <t>Prepare the necessary journal entry to record the warranty liability to be recorded on December 31, 20X1</t>
  </si>
  <si>
    <t>Paid</t>
  </si>
  <si>
    <t>Cash</t>
  </si>
  <si>
    <t>7/1/X2</t>
  </si>
  <si>
    <t>Total Sales X1</t>
  </si>
  <si>
    <t>New Warr Est</t>
  </si>
  <si>
    <t>Total Sales X2</t>
  </si>
  <si>
    <t>Warranty Exp Yr 1</t>
  </si>
  <si>
    <t>Warranty Exp Yr 2</t>
  </si>
  <si>
    <t>Sales Information for 20X2</t>
  </si>
  <si>
    <t>Units sold</t>
  </si>
  <si>
    <t>C)</t>
  </si>
  <si>
    <t>D)</t>
  </si>
  <si>
    <t>Note Payable Face Amount</t>
  </si>
  <si>
    <t>Interest Rate</t>
  </si>
  <si>
    <t>Prepare the appropriate journal entries for the events below related to the note payable during 20X2 and 20X3.</t>
  </si>
  <si>
    <t>8/1/X2</t>
  </si>
  <si>
    <t xml:space="preserve"> decided to obtain a short note payable from the bank to meet the cash requirements.  The note was issued on August 1, 20X2</t>
  </si>
  <si>
    <t xml:space="preserve">To record note payable </t>
  </si>
  <si>
    <t>Note Payable</t>
  </si>
  <si>
    <t>To accrue interest on note payable at year end</t>
  </si>
  <si>
    <t>12/31/X2</t>
  </si>
  <si>
    <t>Interest Payable</t>
  </si>
  <si>
    <t>Interest Expense</t>
  </si>
  <si>
    <t>Interest X2</t>
  </si>
  <si>
    <t>Round all answers to the nearest whole dollar.</t>
  </si>
  <si>
    <t>9/30/X3</t>
  </si>
  <si>
    <t>To record retirement of note payable and payment of interest</t>
  </si>
  <si>
    <t>Interest Exp X3</t>
  </si>
  <si>
    <t xml:space="preserve">Due to the success the company experienced while working with the third party to develop futuristic technology, Sandglass is considering attempting to hire the chief engineer it worked with during the research project.  </t>
  </si>
  <si>
    <t>Sandglass payroll is subject to federal (0.5%) and state (1.5%) unemployment taxes on each employee's gross pay, up to $12,000 per year.</t>
  </si>
  <si>
    <t>XX/XX/XX</t>
  </si>
  <si>
    <t>Payroll of Alan</t>
  </si>
  <si>
    <t>Salaries Expense</t>
  </si>
  <si>
    <t>Federal Income Tax Payable</t>
  </si>
  <si>
    <t>State Income Tax Payable</t>
  </si>
  <si>
    <t>Social Security Tax Payable</t>
  </si>
  <si>
    <t>Medicare/Medicaid Tax Payable</t>
  </si>
  <si>
    <t>Insurance Payable</t>
  </si>
  <si>
    <t>Based on the following facts prepare the hypothetical payroll entries to record both Alan's payroll and Sandglass' portion of payroll taxes for his first month with Sandglass</t>
  </si>
  <si>
    <t>Payroll Tax Expense</t>
  </si>
  <si>
    <t>Employee Benefits Expense</t>
  </si>
  <si>
    <t>Sandglass' portion of payroll taxes and benefits</t>
  </si>
  <si>
    <t>FUTA Payable</t>
  </si>
  <si>
    <t>SUTA Payable</t>
  </si>
  <si>
    <t>Workers Compensation Insurance Payable</t>
  </si>
  <si>
    <t>Retirement Contribution Payable</t>
  </si>
  <si>
    <t>FOR VLOOKUP</t>
  </si>
  <si>
    <t>Vlookup for Conditional</t>
  </si>
  <si>
    <t>Vlookup Values Conditional</t>
  </si>
  <si>
    <t>For Vlookup</t>
  </si>
  <si>
    <t>Sandglass contributes 6% of gross pay to an employee retirement program.  Employees do not contribute to this plan.</t>
  </si>
  <si>
    <t>What is the balance of the warranty liability account on December 31, 20X2?  Assume the balance as of January 1, 20X1 was $0.</t>
  </si>
  <si>
    <t xml:space="preserve">During 20X2, Sandglass was approached by a third party and presented with an unexpected opportunity to research futuristic technology for its next generation of watches.  Due to the cash requirements needed to perform the research and the short notice, </t>
  </si>
  <si>
    <t>Sandglass operates in a state where the income tax is calculated as 10% of federal income taxes due.</t>
  </si>
  <si>
    <t>Sandglass pays for workers' compensation insurance at a rate of 2% of gross pay.  None of this cost is paid by the employee.</t>
  </si>
  <si>
    <t>Applying what you have learned in chapter 12 select the correct answer for each red cell below.  Once the correct answer is selected the cell will turn green.  Round all answers to the nearest whole dollar.  When selecting your answers be sure that for each journal entry the same account is not debited or credited twice.</t>
  </si>
  <si>
    <t>Prepare the necessary journal entry to record the warranty liability for sales occuring during 20X1</t>
  </si>
  <si>
    <t xml:space="preserve"> is the CEO of a prominent retailer of watches, Sandglass, Inc. (Sandglass).  Sandglass specializes in customized, high-performance watches that incorporate technology and connect a customer's watch to third-party devices like cameras, phones, and tablets.  The watches can be customized to include features ranging from a heartbeat monitor and insulin pump to being solar powered.  As the watches Sandglass sells have a lot of technological components, they have a comprehensive warranty covering any malfunctions occuring during the first two years of use.  </t>
  </si>
  <si>
    <t>NOTE: Be sure to use any account only once per journal entry.  If by accident it is duplicated this will appear as incorrect.</t>
  </si>
  <si>
    <t>Assume an effective federal income tax rate for Alan of 35%.</t>
  </si>
  <si>
    <t>Assume that gross pay is subject to social security taxes at a 6.5% rate, on an annual base of $150,000.  Assume that Medicare/Medicaid taxes are 1.5% of gross earnings.  These taxes are matched by the employer.</t>
  </si>
  <si>
    <t xml:space="preserve"> has determined that the company would have to pay Alan, the chief engineer, an annual salary of $240,000 in order for him to consider the change of jobs.  </t>
  </si>
  <si>
    <t>Assume Alan participates in Sandglass group insurance plan.  The monthly premium of $200 is paid by the employee via a payroll withholding.</t>
  </si>
  <si>
    <t>7/31/20X3</t>
  </si>
  <si>
    <t>Enter your name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</si>
</sst>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409]dd\-mmm\-yy;@"/>
    <numFmt numFmtId="165" formatCode="_(* #,##0_);_(* \(#,##0\);_(* &quot;-&quot;??_);_(@_)"/>
    <numFmt numFmtId="166" formatCode="_(&quot;$&quot;* #,##0_);_(&quot;$&quot;* \(#,##0\);_(&quot;$&quot;* &quot;-&quot;??_);_(@_)"/>
    <numFmt numFmtId="167" formatCode="&quot;$&quot;#,##0"/>
  </numFmts>
  <fonts count="14">
    <font>
      <sz val="10"/>
      <name val="Arial"/>
    </font>
    <font>
      <sz val="10"/>
      <name val="Arial"/>
      <family val="2"/>
    </font>
    <font>
      <sz val="10"/>
      <name val="Myriad Web Pro"/>
    </font>
    <font>
      <b/>
      <sz val="10"/>
      <color indexed="9"/>
      <name val="Myriad Web Pro"/>
    </font>
    <font>
      <sz val="10"/>
      <color indexed="16"/>
      <name val="Myriad Web Pro"/>
    </font>
    <font>
      <sz val="10"/>
      <color indexed="16"/>
      <name val="Myriad Pro"/>
    </font>
    <font>
      <sz val="10"/>
      <name val="Myriad Pro"/>
    </font>
    <font>
      <i/>
      <sz val="10"/>
      <name val="Myriad Web Pro"/>
    </font>
    <font>
      <sz val="12"/>
      <color indexed="12"/>
      <name val="Arial"/>
      <family val="2"/>
    </font>
    <font>
      <sz val="12"/>
      <name val="Myriad Pro"/>
    </font>
    <font>
      <sz val="12"/>
      <color indexed="16"/>
      <name val="Myriad Pro"/>
    </font>
    <font>
      <b/>
      <sz val="12"/>
      <name val="Myriad Web Pro"/>
    </font>
    <font>
      <b/>
      <sz val="10"/>
      <name val="Arial"/>
      <family val="2"/>
    </font>
    <font>
      <sz val="10"/>
      <name val="Arial"/>
      <family val="2"/>
    </font>
  </fonts>
  <fills count="16">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4" tint="0.79998168889431442"/>
        <bgColor indexed="64"/>
      </patternFill>
    </fill>
    <fill>
      <patternFill patternType="solid">
        <fgColor rgb="FF00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6">
    <xf numFmtId="0" fontId="0" fillId="0" borderId="0"/>
    <xf numFmtId="0" fontId="2" fillId="2" borderId="0" applyNumberFormat="0" applyBorder="0" applyAlignment="0"/>
    <xf numFmtId="0" fontId="2" fillId="3" borderId="0"/>
    <xf numFmtId="0" fontId="3" fillId="3" borderId="0">
      <alignment horizontal="center" vertical="center"/>
    </xf>
    <xf numFmtId="3" fontId="2" fillId="4" borderId="2">
      <alignment horizontal="right" vertical="center" wrapText="1"/>
    </xf>
    <xf numFmtId="0" fontId="4" fillId="4" borderId="3">
      <alignment horizontal="left" vertical="center" wrapText="1"/>
    </xf>
    <xf numFmtId="0" fontId="5" fillId="4" borderId="0">
      <alignment horizontal="left" vertical="center" wrapText="1" indent="1"/>
    </xf>
    <xf numFmtId="3" fontId="6" fillId="4" borderId="4" applyNumberFormat="0" applyFont="0" applyAlignment="0">
      <alignment horizontal="center" vertical="center" wrapText="1"/>
    </xf>
    <xf numFmtId="16" fontId="2" fillId="4" borderId="0">
      <alignment horizontal="center" vertical="center" wrapText="1"/>
    </xf>
    <xf numFmtId="0" fontId="7" fillId="4" borderId="5">
      <alignment horizontal="justify" vertical="center" wrapText="1"/>
    </xf>
    <xf numFmtId="0" fontId="8" fillId="5" borderId="0" applyFont="0" applyAlignment="0">
      <alignment horizontal="center" vertical="center" wrapText="1"/>
    </xf>
    <xf numFmtId="0" fontId="3" fillId="5" borderId="4" applyAlignment="0">
      <alignment horizontal="center" vertical="center" wrapText="1"/>
    </xf>
    <xf numFmtId="164" fontId="9" fillId="6" borderId="6" applyNumberFormat="0" applyFont="0" applyFill="0" applyAlignment="0">
      <alignment horizontal="left" vertical="center" wrapText="1"/>
    </xf>
    <xf numFmtId="164" fontId="2" fillId="0" borderId="6" applyNumberFormat="0" applyFont="0" applyFill="0" applyAlignment="0">
      <alignment horizontal="center" vertical="center" wrapText="1"/>
    </xf>
    <xf numFmtId="164" fontId="2" fillId="7" borderId="7" applyNumberFormat="0" applyBorder="0" applyAlignment="0">
      <alignment horizontal="left" vertical="center" wrapText="1"/>
    </xf>
    <xf numFmtId="0" fontId="3" fillId="8" borderId="8" applyAlignment="0">
      <alignment vertical="center"/>
    </xf>
    <xf numFmtId="0" fontId="1" fillId="8" borderId="0">
      <alignment vertical="center"/>
    </xf>
    <xf numFmtId="164" fontId="2" fillId="6" borderId="9" applyNumberFormat="0" applyBorder="0" applyAlignment="0">
      <alignment horizontal="left" vertical="center" wrapText="1"/>
    </xf>
    <xf numFmtId="0" fontId="2" fillId="4" borderId="0" applyFill="0">
      <alignment horizontal="justify" vertical="top" wrapText="1"/>
    </xf>
    <xf numFmtId="0" fontId="10" fillId="0" borderId="0">
      <alignment horizontal="left" vertical="center" wrapText="1"/>
    </xf>
    <xf numFmtId="0" fontId="9" fillId="0" borderId="0">
      <alignment horizontal="left" vertical="center" wrapText="1"/>
    </xf>
    <xf numFmtId="0" fontId="2" fillId="9" borderId="0" applyNumberFormat="0" applyAlignment="0">
      <alignment vertical="center"/>
    </xf>
    <xf numFmtId="0" fontId="3" fillId="10" borderId="0" applyNumberFormat="0" applyAlignment="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1" fontId="2" fillId="11" borderId="1" xfId="0" applyNumberFormat="1" applyFont="1" applyFill="1" applyBorder="1" applyProtection="1"/>
    <xf numFmtId="0" fontId="2" fillId="12" borderId="0" xfId="2" applyFont="1" applyFill="1" applyBorder="1" applyProtection="1"/>
    <xf numFmtId="0" fontId="0" fillId="12" borderId="0" xfId="0" applyFill="1" applyProtection="1"/>
    <xf numFmtId="0" fontId="7" fillId="12" borderId="0" xfId="2" applyFont="1" applyFill="1" applyBorder="1" applyAlignment="1" applyProtection="1">
      <alignment vertical="center" wrapText="1"/>
    </xf>
    <xf numFmtId="1" fontId="2" fillId="12" borderId="1" xfId="0" applyNumberFormat="1" applyFont="1" applyFill="1" applyBorder="1" applyProtection="1"/>
    <xf numFmtId="1" fontId="2" fillId="12" borderId="0" xfId="0" applyNumberFormat="1" applyFont="1" applyFill="1" applyBorder="1" applyProtection="1"/>
    <xf numFmtId="0" fontId="2" fillId="12" borderId="0" xfId="0" applyFont="1" applyFill="1" applyAlignment="1" applyProtection="1">
      <alignment horizontal="left" vertical="center"/>
    </xf>
    <xf numFmtId="0" fontId="2" fillId="12" borderId="0" xfId="0" applyFont="1" applyFill="1" applyAlignment="1" applyProtection="1">
      <alignment horizontal="center" vertical="center"/>
      <protection locked="0"/>
    </xf>
    <xf numFmtId="0" fontId="2" fillId="12" borderId="0" xfId="0" applyFont="1" applyFill="1" applyProtection="1"/>
    <xf numFmtId="14" fontId="2" fillId="12" borderId="0" xfId="0" applyNumberFormat="1" applyFont="1" applyFill="1" applyAlignment="1" applyProtection="1">
      <alignment horizontal="center" vertical="center"/>
      <protection locked="0"/>
    </xf>
    <xf numFmtId="0" fontId="13" fillId="12" borderId="0" xfId="0" applyFont="1" applyFill="1" applyProtection="1"/>
    <xf numFmtId="0" fontId="0" fillId="12" borderId="0" xfId="0" applyFill="1" applyAlignment="1" applyProtection="1">
      <alignment horizontal="center" vertical="center" wrapText="1"/>
    </xf>
    <xf numFmtId="0" fontId="1" fillId="12" borderId="0" xfId="0" applyFont="1" applyFill="1" applyProtection="1"/>
    <xf numFmtId="0" fontId="0" fillId="13" borderId="0" xfId="0" applyFill="1" applyProtection="1"/>
    <xf numFmtId="0" fontId="12" fillId="13" borderId="15" xfId="0" applyFont="1" applyFill="1" applyBorder="1" applyAlignment="1" applyProtection="1">
      <alignment horizontal="center"/>
    </xf>
    <xf numFmtId="166" fontId="0" fillId="13" borderId="0" xfId="24" applyNumberFormat="1" applyFont="1" applyFill="1" applyAlignment="1" applyProtection="1">
      <alignment horizontal="center"/>
    </xf>
    <xf numFmtId="165" fontId="0" fillId="13" borderId="0" xfId="23" applyNumberFormat="1" applyFont="1" applyFill="1" applyAlignment="1" applyProtection="1">
      <alignment horizontal="center"/>
    </xf>
    <xf numFmtId="166" fontId="0" fillId="13" borderId="0" xfId="24" applyNumberFormat="1" applyFont="1" applyFill="1" applyBorder="1" applyAlignment="1" applyProtection="1">
      <alignment horizontal="center"/>
    </xf>
    <xf numFmtId="0" fontId="13" fillId="13" borderId="0" xfId="0" applyFont="1" applyFill="1" applyProtection="1"/>
    <xf numFmtId="0" fontId="13" fillId="13" borderId="0" xfId="0" applyFont="1" applyFill="1" applyBorder="1" applyAlignment="1" applyProtection="1">
      <alignment horizontal="center"/>
    </xf>
    <xf numFmtId="166" fontId="13" fillId="13" borderId="0" xfId="0" applyNumberFormat="1" applyFont="1" applyFill="1" applyBorder="1" applyAlignment="1" applyProtection="1">
      <alignment horizontal="center"/>
    </xf>
    <xf numFmtId="0" fontId="12" fillId="12" borderId="0" xfId="0" applyFont="1" applyFill="1" applyProtection="1"/>
    <xf numFmtId="0" fontId="12" fillId="12" borderId="0" xfId="0" applyFont="1" applyFill="1" applyAlignment="1" applyProtection="1">
      <alignment horizontal="center" vertical="center" wrapText="1"/>
    </xf>
    <xf numFmtId="0" fontId="11" fillId="13" borderId="1" xfId="0" applyFont="1" applyFill="1" applyBorder="1" applyAlignment="1" applyProtection="1">
      <alignment horizontal="center" vertical="center" wrapText="1"/>
    </xf>
    <xf numFmtId="166" fontId="0" fillId="12" borderId="0" xfId="0" applyNumberFormat="1" applyFill="1" applyProtection="1"/>
    <xf numFmtId="166" fontId="0" fillId="12" borderId="0" xfId="24" applyNumberFormat="1" applyFont="1" applyFill="1" applyProtection="1"/>
    <xf numFmtId="9" fontId="0" fillId="12" borderId="0" xfId="25" applyFont="1" applyFill="1" applyProtection="1"/>
    <xf numFmtId="0" fontId="12" fillId="12" borderId="0" xfId="0" applyFont="1" applyFill="1" applyAlignment="1" applyProtection="1">
      <alignment horizontal="center"/>
    </xf>
    <xf numFmtId="44" fontId="0" fillId="12" borderId="0" xfId="0" applyNumberFormat="1" applyFill="1" applyProtection="1"/>
    <xf numFmtId="165" fontId="0" fillId="12" borderId="18" xfId="0" applyNumberFormat="1" applyFill="1" applyBorder="1" applyProtection="1"/>
    <xf numFmtId="0" fontId="13" fillId="12" borderId="0" xfId="0" applyFont="1" applyFill="1" applyAlignment="1" applyProtection="1">
      <alignment horizontal="center" wrapText="1"/>
    </xf>
    <xf numFmtId="0" fontId="12" fillId="12" borderId="0" xfId="0" applyFont="1" applyFill="1" applyAlignment="1" applyProtection="1">
      <alignment horizontal="center" wrapText="1"/>
    </xf>
    <xf numFmtId="0" fontId="0" fillId="14" borderId="0" xfId="0" applyFill="1" applyProtection="1"/>
    <xf numFmtId="0" fontId="12" fillId="14" borderId="15" xfId="0" applyFont="1" applyFill="1" applyBorder="1" applyAlignment="1" applyProtection="1">
      <alignment horizontal="center"/>
    </xf>
    <xf numFmtId="166" fontId="0" fillId="14" borderId="0" xfId="24" applyNumberFormat="1" applyFont="1" applyFill="1" applyAlignment="1" applyProtection="1">
      <alignment horizontal="center"/>
    </xf>
    <xf numFmtId="165" fontId="0" fillId="14" borderId="0" xfId="23" applyNumberFormat="1" applyFont="1" applyFill="1" applyAlignment="1" applyProtection="1">
      <alignment horizontal="center"/>
    </xf>
    <xf numFmtId="166" fontId="0" fillId="14" borderId="0" xfId="24" applyNumberFormat="1" applyFont="1" applyFill="1" applyBorder="1" applyAlignment="1" applyProtection="1">
      <alignment horizontal="center"/>
    </xf>
    <xf numFmtId="0" fontId="13" fillId="14" borderId="0" xfId="0" applyFont="1" applyFill="1" applyProtection="1"/>
    <xf numFmtId="166" fontId="13" fillId="14" borderId="0" xfId="0" applyNumberFormat="1" applyFont="1" applyFill="1" applyBorder="1" applyAlignment="1" applyProtection="1">
      <alignment horizontal="center"/>
    </xf>
    <xf numFmtId="165" fontId="13" fillId="14" borderId="0" xfId="23" applyNumberFormat="1" applyFont="1" applyFill="1" applyBorder="1" applyAlignment="1" applyProtection="1">
      <alignment horizontal="center"/>
    </xf>
    <xf numFmtId="0" fontId="11" fillId="14" borderId="1" xfId="0" applyFont="1" applyFill="1" applyBorder="1" applyAlignment="1" applyProtection="1">
      <alignment horizontal="center" vertical="center" wrapText="1"/>
    </xf>
    <xf numFmtId="0" fontId="0" fillId="12" borderId="0" xfId="0" applyFill="1" applyAlignment="1" applyProtection="1">
      <alignment vertical="center"/>
    </xf>
    <xf numFmtId="0" fontId="13" fillId="12" borderId="0" xfId="0" applyFont="1" applyFill="1" applyAlignment="1" applyProtection="1">
      <alignment horizontal="center" vertical="center"/>
    </xf>
    <xf numFmtId="0" fontId="2" fillId="12" borderId="0" xfId="2" applyFont="1" applyFill="1" applyBorder="1" applyAlignment="1" applyProtection="1">
      <alignment vertical="center"/>
    </xf>
    <xf numFmtId="0" fontId="2" fillId="12" borderId="0" xfId="2" applyFont="1" applyFill="1" applyBorder="1" applyAlignment="1" applyProtection="1">
      <alignment horizontal="left" vertical="center"/>
    </xf>
    <xf numFmtId="165" fontId="2" fillId="12" borderId="0" xfId="23" applyNumberFormat="1" applyFont="1" applyFill="1" applyBorder="1" applyAlignment="1" applyProtection="1">
      <alignment vertical="center"/>
    </xf>
    <xf numFmtId="0" fontId="13" fillId="12" borderId="0" xfId="0" applyFont="1" applyFill="1" applyAlignment="1" applyProtection="1">
      <alignment vertical="center"/>
    </xf>
    <xf numFmtId="166" fontId="0" fillId="12" borderId="0" xfId="24" applyNumberFormat="1" applyFont="1" applyFill="1" applyAlignment="1" applyProtection="1">
      <alignment vertical="center"/>
    </xf>
    <xf numFmtId="9" fontId="0" fillId="12" borderId="0" xfId="0" applyNumberFormat="1" applyFill="1" applyAlignment="1" applyProtection="1">
      <alignment vertical="center"/>
    </xf>
    <xf numFmtId="166" fontId="0" fillId="12" borderId="0" xfId="0" applyNumberFormat="1" applyFill="1" applyAlignment="1" applyProtection="1">
      <alignment vertical="center"/>
    </xf>
    <xf numFmtId="165" fontId="2" fillId="15" borderId="0" xfId="23" applyNumberFormat="1" applyFont="1" applyFill="1" applyBorder="1" applyAlignment="1" applyProtection="1">
      <alignment vertical="center"/>
      <protection locked="0"/>
    </xf>
    <xf numFmtId="166" fontId="0" fillId="15" borderId="18" xfId="24" applyNumberFormat="1" applyFont="1" applyFill="1" applyBorder="1" applyAlignment="1" applyProtection="1">
      <alignment horizontal="center" vertical="center"/>
      <protection locked="0"/>
    </xf>
    <xf numFmtId="0" fontId="12" fillId="12" borderId="0" xfId="0" applyFont="1" applyFill="1" applyAlignment="1" applyProtection="1">
      <alignment vertical="center"/>
    </xf>
    <xf numFmtId="0" fontId="7" fillId="12" borderId="12" xfId="2" applyFont="1" applyFill="1" applyBorder="1" applyAlignment="1" applyProtection="1">
      <alignment horizontal="center" vertical="center" wrapText="1"/>
    </xf>
    <xf numFmtId="0" fontId="7" fillId="12" borderId="13" xfId="2" applyFont="1" applyFill="1" applyBorder="1" applyAlignment="1" applyProtection="1">
      <alignment horizontal="center" vertical="center" wrapText="1"/>
    </xf>
    <xf numFmtId="0" fontId="7" fillId="12" borderId="14" xfId="2" applyFont="1" applyFill="1" applyBorder="1" applyAlignment="1" applyProtection="1">
      <alignment horizontal="center" vertical="center" wrapText="1"/>
    </xf>
    <xf numFmtId="0" fontId="11" fillId="13" borderId="10" xfId="0" applyFont="1" applyFill="1" applyBorder="1" applyAlignment="1" applyProtection="1">
      <alignment horizontal="left" vertical="center" wrapText="1"/>
    </xf>
    <xf numFmtId="0" fontId="11" fillId="13" borderId="17" xfId="0" applyFont="1" applyFill="1" applyBorder="1" applyAlignment="1" applyProtection="1">
      <alignment horizontal="left" vertical="center" wrapText="1"/>
    </xf>
    <xf numFmtId="0" fontId="11" fillId="13" borderId="11" xfId="0" applyFont="1" applyFill="1" applyBorder="1" applyAlignment="1" applyProtection="1">
      <alignment horizontal="left" vertical="center" wrapText="1"/>
    </xf>
    <xf numFmtId="0" fontId="12" fillId="12" borderId="0" xfId="0" applyFont="1" applyFill="1" applyAlignment="1" applyProtection="1">
      <alignment horizontal="center"/>
    </xf>
    <xf numFmtId="0" fontId="11" fillId="14" borderId="10" xfId="0" applyFont="1" applyFill="1" applyBorder="1" applyAlignment="1" applyProtection="1">
      <alignment horizontal="left" vertical="center" wrapText="1"/>
    </xf>
    <xf numFmtId="0" fontId="11" fillId="14" borderId="17" xfId="0" applyFont="1" applyFill="1" applyBorder="1" applyAlignment="1" applyProtection="1">
      <alignment horizontal="left" vertical="center" wrapText="1"/>
    </xf>
    <xf numFmtId="0" fontId="11" fillId="14" borderId="11" xfId="0" applyFont="1" applyFill="1" applyBorder="1" applyAlignment="1" applyProtection="1">
      <alignment horizontal="left" vertical="center" wrapText="1"/>
    </xf>
    <xf numFmtId="0" fontId="13" fillId="12" borderId="0" xfId="0" applyFont="1" applyFill="1" applyAlignment="1" applyProtection="1">
      <alignment horizontal="center" wrapText="1"/>
    </xf>
    <xf numFmtId="0" fontId="12" fillId="12" borderId="0" xfId="0" applyFont="1" applyFill="1" applyAlignment="1" applyProtection="1">
      <alignment horizontal="center" wrapText="1"/>
    </xf>
    <xf numFmtId="0" fontId="0" fillId="12" borderId="0" xfId="0" applyFill="1" applyAlignment="1" applyProtection="1">
      <alignment horizontal="center" vertical="center" wrapText="1"/>
    </xf>
    <xf numFmtId="0" fontId="12" fillId="14" borderId="0" xfId="0" applyFont="1" applyFill="1" applyAlignment="1" applyProtection="1">
      <alignment horizontal="center" vertical="center"/>
    </xf>
    <xf numFmtId="0" fontId="12" fillId="14" borderId="15" xfId="0" applyFont="1" applyFill="1" applyBorder="1" applyAlignment="1" applyProtection="1">
      <alignment horizontal="center"/>
    </xf>
    <xf numFmtId="167" fontId="0" fillId="14" borderId="16" xfId="24" applyNumberFormat="1" applyFont="1" applyFill="1" applyBorder="1" applyAlignment="1" applyProtection="1">
      <alignment horizontal="center"/>
    </xf>
    <xf numFmtId="0" fontId="12" fillId="12" borderId="0" xfId="0" applyFont="1" applyFill="1" applyAlignment="1" applyProtection="1">
      <alignment horizontal="center" vertical="center" wrapText="1"/>
    </xf>
    <xf numFmtId="0" fontId="2" fillId="15" borderId="0" xfId="2" applyFont="1" applyFill="1" applyBorder="1" applyAlignment="1" applyProtection="1">
      <alignment horizontal="left" vertical="center" indent="3"/>
      <protection locked="0"/>
    </xf>
    <xf numFmtId="0" fontId="12" fillId="13" borderId="15" xfId="0" applyFont="1" applyFill="1" applyBorder="1" applyAlignment="1" applyProtection="1">
      <alignment horizontal="center"/>
    </xf>
    <xf numFmtId="0" fontId="12" fillId="13" borderId="0" xfId="0" applyFont="1" applyFill="1" applyAlignment="1" applyProtection="1">
      <alignment horizontal="center" vertical="center"/>
    </xf>
    <xf numFmtId="0" fontId="2" fillId="15" borderId="0" xfId="2" applyFont="1" applyFill="1" applyBorder="1" applyAlignment="1" applyProtection="1">
      <alignment horizontal="left" vertical="center"/>
      <protection locked="0"/>
    </xf>
    <xf numFmtId="166" fontId="13" fillId="13" borderId="16" xfId="0" applyNumberFormat="1" applyFont="1" applyFill="1" applyBorder="1" applyAlignment="1" applyProtection="1">
      <alignment horizontal="center"/>
    </xf>
    <xf numFmtId="0" fontId="13" fillId="13" borderId="16" xfId="0" applyFont="1" applyFill="1" applyBorder="1" applyAlignment="1" applyProtection="1">
      <alignment horizontal="center"/>
    </xf>
    <xf numFmtId="0" fontId="13" fillId="12" borderId="0" xfId="0" applyFont="1" applyFill="1" applyAlignment="1" applyProtection="1">
      <alignment horizontal="center" vertical="center" wrapText="1"/>
    </xf>
    <xf numFmtId="166" fontId="0" fillId="13" borderId="16" xfId="24" applyNumberFormat="1" applyFont="1" applyFill="1" applyBorder="1" applyAlignment="1" applyProtection="1">
      <alignment horizontal="center"/>
    </xf>
    <xf numFmtId="165" fontId="0" fillId="12" borderId="0" xfId="0" applyNumberFormat="1" applyFill="1" applyAlignment="1" applyProtection="1">
      <alignment vertical="center"/>
    </xf>
    <xf numFmtId="165" fontId="2" fillId="15" borderId="0" xfId="2" applyNumberFormat="1" applyFont="1" applyFill="1" applyBorder="1" applyAlignment="1" applyProtection="1">
      <alignment vertical="center"/>
      <protection locked="0"/>
    </xf>
    <xf numFmtId="165" fontId="2" fillId="12" borderId="0" xfId="2" applyNumberFormat="1" applyFont="1" applyFill="1" applyBorder="1" applyAlignment="1" applyProtection="1">
      <alignment vertical="center"/>
    </xf>
    <xf numFmtId="165" fontId="13" fillId="12" borderId="0" xfId="0" applyNumberFormat="1" applyFont="1" applyFill="1" applyAlignment="1" applyProtection="1">
      <alignment vertical="center"/>
    </xf>
    <xf numFmtId="0" fontId="12" fillId="12" borderId="15" xfId="0" applyFont="1" applyFill="1" applyBorder="1" applyAlignment="1" applyProtection="1">
      <alignment horizontal="center" vertical="center" wrapText="1"/>
    </xf>
    <xf numFmtId="0" fontId="0" fillId="12" borderId="0" xfId="0" applyFill="1" applyAlignment="1" applyProtection="1">
      <alignment horizontal="left" vertical="center"/>
    </xf>
    <xf numFmtId="0" fontId="13" fillId="12" borderId="0" xfId="0" applyFont="1" applyFill="1" applyAlignment="1" applyProtection="1">
      <alignment horizontal="left" vertical="center" wrapText="1"/>
    </xf>
    <xf numFmtId="0" fontId="13" fillId="12" borderId="0" xfId="0" applyFont="1" applyFill="1" applyAlignment="1" applyProtection="1">
      <alignment horizontal="left" vertical="center" wrapText="1"/>
    </xf>
    <xf numFmtId="0" fontId="1" fillId="12" borderId="0" xfId="0" applyFont="1" applyFill="1" applyAlignment="1" applyProtection="1">
      <alignment horizontal="left" vertical="center" wrapText="1"/>
    </xf>
    <xf numFmtId="0" fontId="0" fillId="12" borderId="0" xfId="0" applyFill="1" applyAlignment="1" applyProtection="1">
      <alignment horizontal="left" vertical="center" wrapText="1"/>
    </xf>
    <xf numFmtId="0" fontId="0" fillId="12" borderId="0" xfId="0" applyFill="1" applyAlignment="1" applyProtection="1">
      <alignment horizontal="left" vertical="center" wrapText="1"/>
    </xf>
    <xf numFmtId="0" fontId="13" fillId="12" borderId="0" xfId="0" applyFont="1" applyFill="1" applyAlignment="1" applyProtection="1">
      <alignment horizontal="left" vertical="center"/>
    </xf>
    <xf numFmtId="0" fontId="0" fillId="12" borderId="0" xfId="0" applyFill="1" applyAlignment="1" applyProtection="1">
      <alignment horizontal="left" vertical="center"/>
    </xf>
    <xf numFmtId="0" fontId="1" fillId="12" borderId="0" xfId="0" applyFont="1" applyFill="1" applyAlignment="1" applyProtection="1">
      <alignment horizontal="left" vertical="center"/>
    </xf>
    <xf numFmtId="0" fontId="1" fillId="12" borderId="0" xfId="0" applyFont="1" applyFill="1" applyAlignment="1" applyProtection="1">
      <alignment horizontal="center" vertical="center"/>
    </xf>
  </cellXfs>
  <cellStyles count="26">
    <cellStyle name="bsbody" xfId="1"/>
    <cellStyle name="bsfoot" xfId="2"/>
    <cellStyle name="bshead" xfId="3"/>
    <cellStyle name="Comma" xfId="23" builtinId="3"/>
    <cellStyle name="Currency" xfId="24"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ercent" xfId="25" builtinId="5"/>
    <cellStyle name="POA" xfId="18"/>
    <cellStyle name="POAanswer" xfId="19"/>
    <cellStyle name="POAhead" xfId="20"/>
    <cellStyle name="trialbody" xfId="21"/>
    <cellStyle name="trialhead" xfId="22"/>
  </cellStyles>
  <dxfs count="5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74"/>
  <sheetViews>
    <sheetView tabSelected="1" zoomScaleNormal="100" workbookViewId="0">
      <selection activeCell="B1" sqref="B1"/>
    </sheetView>
  </sheetViews>
  <sheetFormatPr defaultColWidth="0" defaultRowHeight="12.75" zeroHeight="1"/>
  <cols>
    <col min="1" max="1" width="31" style="9" customWidth="1"/>
    <col min="2" max="2" width="26.5703125" style="9" customWidth="1"/>
    <col min="3" max="3" width="9.140625" style="9" hidden="1" customWidth="1"/>
    <col min="4" max="8" width="0" style="9" hidden="1" customWidth="1"/>
    <col min="9" max="16384" width="9.140625" style="9" hidden="1"/>
  </cols>
  <sheetData>
    <row r="1" spans="1:2" ht="21.75" customHeight="1">
      <c r="A1" s="7" t="s">
        <v>0</v>
      </c>
      <c r="B1" s="8" t="s">
        <v>87</v>
      </c>
    </row>
    <row r="2" spans="1:2" ht="21.75" customHeight="1">
      <c r="A2" s="7" t="s">
        <v>1</v>
      </c>
      <c r="B2" s="8">
        <v>11111</v>
      </c>
    </row>
    <row r="3" spans="1:2" ht="21.75" customHeight="1">
      <c r="A3" s="7" t="s">
        <v>2</v>
      </c>
      <c r="B3" s="10">
        <v>42976</v>
      </c>
    </row>
    <row r="4" spans="1:2"/>
    <row r="5" spans="1:2" hidden="1"/>
    <row r="6" spans="1:2" hidden="1">
      <c r="A6" s="7" t="s">
        <v>3</v>
      </c>
    </row>
    <row r="7" spans="1:2" hidden="1"/>
    <row r="8" spans="1:2" hidden="1">
      <c r="B8" s="9">
        <f>B2/10000</f>
        <v>1.1111</v>
      </c>
    </row>
    <row r="9" spans="1:2" hidden="1">
      <c r="B9" s="9">
        <f>TRUNC(B8)</f>
        <v>1</v>
      </c>
    </row>
    <row r="10" spans="1:2" hidden="1">
      <c r="B10" s="9">
        <f>B2/1000</f>
        <v>11.111000000000001</v>
      </c>
    </row>
    <row r="11" spans="1:2" hidden="1">
      <c r="B11" s="9">
        <f>TRUNC(B10)</f>
        <v>11</v>
      </c>
    </row>
    <row r="12" spans="1:2" hidden="1">
      <c r="B12" s="9">
        <f>B11-(B9*10)</f>
        <v>1</v>
      </c>
    </row>
    <row r="13" spans="1:2" hidden="1">
      <c r="B13" s="9">
        <f>B2/100</f>
        <v>111.11</v>
      </c>
    </row>
    <row r="14" spans="1:2" hidden="1">
      <c r="B14" s="9">
        <f>TRUNC(B13)</f>
        <v>111</v>
      </c>
    </row>
    <row r="15" spans="1:2" hidden="1">
      <c r="B15" s="9">
        <f>B14-(B11*10)</f>
        <v>1</v>
      </c>
    </row>
    <row r="16" spans="1:2" hidden="1">
      <c r="B16" s="9">
        <f>B2/10</f>
        <v>1111.0999999999999</v>
      </c>
    </row>
    <row r="17" spans="1:3" hidden="1">
      <c r="B17" s="9">
        <f>TRUNC(B16)</f>
        <v>1111</v>
      </c>
    </row>
    <row r="18" spans="1:3" hidden="1">
      <c r="B18" s="9">
        <f>B17-(B14*10)</f>
        <v>1</v>
      </c>
    </row>
    <row r="19" spans="1:3" hidden="1">
      <c r="B19" s="9">
        <f>B2</f>
        <v>11111</v>
      </c>
    </row>
    <row r="20" spans="1:3" hidden="1">
      <c r="B20" s="9">
        <f>TRUNC(B19)</f>
        <v>11111</v>
      </c>
    </row>
    <row r="21" spans="1:3" hidden="1">
      <c r="B21" s="9">
        <f>B20-(B17*10)</f>
        <v>1</v>
      </c>
    </row>
    <row r="22" spans="1:3" hidden="1"/>
    <row r="23" spans="1:3" hidden="1">
      <c r="B23" s="9">
        <f>B9+B12+B15+B18+B21</f>
        <v>5</v>
      </c>
    </row>
    <row r="24" spans="1:3" hidden="1"/>
    <row r="25" spans="1:3" hidden="1"/>
    <row r="26" spans="1:3" hidden="1">
      <c r="A26" s="9">
        <v>1</v>
      </c>
      <c r="B26" s="9">
        <v>5</v>
      </c>
      <c r="C26" s="9">
        <f>IF(A26=$B$23,B26,0)</f>
        <v>0</v>
      </c>
    </row>
    <row r="27" spans="1:3" hidden="1">
      <c r="A27" s="9">
        <v>2</v>
      </c>
      <c r="B27" s="9">
        <v>7</v>
      </c>
      <c r="C27" s="9">
        <f t="shared" ref="C27:C70" si="0">IF(A27=$B$23,B27,0)</f>
        <v>0</v>
      </c>
    </row>
    <row r="28" spans="1:3" hidden="1">
      <c r="A28" s="9">
        <v>3</v>
      </c>
      <c r="B28" s="9">
        <v>6</v>
      </c>
      <c r="C28" s="9">
        <f t="shared" si="0"/>
        <v>0</v>
      </c>
    </row>
    <row r="29" spans="1:3" hidden="1">
      <c r="A29" s="9">
        <v>4</v>
      </c>
      <c r="B29" s="9">
        <v>2</v>
      </c>
      <c r="C29" s="9">
        <f t="shared" si="0"/>
        <v>0</v>
      </c>
    </row>
    <row r="30" spans="1:3" hidden="1">
      <c r="A30" s="9">
        <v>5</v>
      </c>
      <c r="B30" s="9">
        <v>9</v>
      </c>
      <c r="C30" s="9">
        <f t="shared" si="0"/>
        <v>9</v>
      </c>
    </row>
    <row r="31" spans="1:3" hidden="1">
      <c r="A31" s="9">
        <v>6</v>
      </c>
      <c r="B31" s="9">
        <v>2</v>
      </c>
      <c r="C31" s="9">
        <f t="shared" si="0"/>
        <v>0</v>
      </c>
    </row>
    <row r="32" spans="1:3" hidden="1">
      <c r="A32" s="9">
        <v>7</v>
      </c>
      <c r="B32" s="9">
        <v>3</v>
      </c>
      <c r="C32" s="9">
        <f t="shared" si="0"/>
        <v>0</v>
      </c>
    </row>
    <row r="33" spans="1:3" hidden="1">
      <c r="A33" s="9">
        <v>8</v>
      </c>
      <c r="B33" s="9">
        <v>7</v>
      </c>
      <c r="C33" s="9">
        <f t="shared" si="0"/>
        <v>0</v>
      </c>
    </row>
    <row r="34" spans="1:3" hidden="1">
      <c r="A34" s="9">
        <v>9</v>
      </c>
      <c r="B34" s="9">
        <v>3</v>
      </c>
      <c r="C34" s="9">
        <f t="shared" si="0"/>
        <v>0</v>
      </c>
    </row>
    <row r="35" spans="1:3" hidden="1">
      <c r="A35" s="9">
        <v>10</v>
      </c>
      <c r="B35" s="9">
        <v>9</v>
      </c>
      <c r="C35" s="9">
        <f t="shared" si="0"/>
        <v>0</v>
      </c>
    </row>
    <row r="36" spans="1:3" hidden="1">
      <c r="A36" s="9">
        <v>11</v>
      </c>
      <c r="B36" s="9">
        <v>7</v>
      </c>
      <c r="C36" s="9">
        <f t="shared" si="0"/>
        <v>0</v>
      </c>
    </row>
    <row r="37" spans="1:3" hidden="1">
      <c r="A37" s="9">
        <v>12</v>
      </c>
      <c r="B37" s="9">
        <v>6</v>
      </c>
      <c r="C37" s="9">
        <f t="shared" si="0"/>
        <v>0</v>
      </c>
    </row>
    <row r="38" spans="1:3" hidden="1">
      <c r="A38" s="9">
        <v>13</v>
      </c>
      <c r="B38" s="9">
        <v>6</v>
      </c>
      <c r="C38" s="9">
        <f t="shared" si="0"/>
        <v>0</v>
      </c>
    </row>
    <row r="39" spans="1:3" hidden="1">
      <c r="A39" s="9">
        <v>14</v>
      </c>
      <c r="B39" s="9">
        <v>2</v>
      </c>
      <c r="C39" s="9">
        <f t="shared" si="0"/>
        <v>0</v>
      </c>
    </row>
    <row r="40" spans="1:3" hidden="1">
      <c r="A40" s="9">
        <v>15</v>
      </c>
      <c r="B40" s="9">
        <v>5</v>
      </c>
      <c r="C40" s="9">
        <f t="shared" si="0"/>
        <v>0</v>
      </c>
    </row>
    <row r="41" spans="1:3" hidden="1">
      <c r="A41" s="9">
        <v>16</v>
      </c>
      <c r="B41" s="9">
        <v>3</v>
      </c>
      <c r="C41" s="9">
        <f t="shared" si="0"/>
        <v>0</v>
      </c>
    </row>
    <row r="42" spans="1:3" hidden="1">
      <c r="A42" s="9">
        <v>17</v>
      </c>
      <c r="B42" s="9">
        <v>7</v>
      </c>
      <c r="C42" s="9">
        <f t="shared" si="0"/>
        <v>0</v>
      </c>
    </row>
    <row r="43" spans="1:3" hidden="1">
      <c r="A43" s="9">
        <v>18</v>
      </c>
      <c r="B43" s="9">
        <v>5</v>
      </c>
      <c r="C43" s="9">
        <f t="shared" si="0"/>
        <v>0</v>
      </c>
    </row>
    <row r="44" spans="1:3" hidden="1">
      <c r="A44" s="9">
        <v>19</v>
      </c>
      <c r="B44" s="9">
        <v>5</v>
      </c>
      <c r="C44" s="9">
        <f t="shared" si="0"/>
        <v>0</v>
      </c>
    </row>
    <row r="45" spans="1:3" hidden="1">
      <c r="A45" s="9">
        <v>20</v>
      </c>
      <c r="B45" s="9">
        <v>8</v>
      </c>
      <c r="C45" s="9">
        <f t="shared" si="0"/>
        <v>0</v>
      </c>
    </row>
    <row r="46" spans="1:3" hidden="1">
      <c r="A46" s="9">
        <v>21</v>
      </c>
      <c r="B46" s="9">
        <v>9</v>
      </c>
      <c r="C46" s="9">
        <f t="shared" si="0"/>
        <v>0</v>
      </c>
    </row>
    <row r="47" spans="1:3" hidden="1">
      <c r="A47" s="9">
        <v>22</v>
      </c>
      <c r="B47" s="9">
        <v>9</v>
      </c>
      <c r="C47" s="9">
        <f t="shared" si="0"/>
        <v>0</v>
      </c>
    </row>
    <row r="48" spans="1:3" hidden="1">
      <c r="A48" s="9">
        <v>23</v>
      </c>
      <c r="B48" s="9">
        <v>8</v>
      </c>
      <c r="C48" s="9">
        <f t="shared" si="0"/>
        <v>0</v>
      </c>
    </row>
    <row r="49" spans="1:3" hidden="1">
      <c r="A49" s="9">
        <v>24</v>
      </c>
      <c r="B49" s="9">
        <v>7</v>
      </c>
      <c r="C49" s="9">
        <f t="shared" si="0"/>
        <v>0</v>
      </c>
    </row>
    <row r="50" spans="1:3" hidden="1">
      <c r="A50" s="9">
        <v>25</v>
      </c>
      <c r="B50" s="9">
        <v>2</v>
      </c>
      <c r="C50" s="9">
        <f t="shared" si="0"/>
        <v>0</v>
      </c>
    </row>
    <row r="51" spans="1:3" hidden="1">
      <c r="A51" s="9">
        <v>26</v>
      </c>
      <c r="B51" s="9">
        <v>4</v>
      </c>
      <c r="C51" s="9">
        <f t="shared" si="0"/>
        <v>0</v>
      </c>
    </row>
    <row r="52" spans="1:3" hidden="1">
      <c r="A52" s="9">
        <v>27</v>
      </c>
      <c r="B52" s="9">
        <v>3</v>
      </c>
      <c r="C52" s="9">
        <f t="shared" si="0"/>
        <v>0</v>
      </c>
    </row>
    <row r="53" spans="1:3" hidden="1">
      <c r="A53" s="9">
        <v>28</v>
      </c>
      <c r="B53" s="9">
        <v>5</v>
      </c>
      <c r="C53" s="9">
        <f t="shared" si="0"/>
        <v>0</v>
      </c>
    </row>
    <row r="54" spans="1:3" hidden="1">
      <c r="A54" s="9">
        <v>29</v>
      </c>
      <c r="B54" s="9">
        <v>5</v>
      </c>
      <c r="C54" s="9">
        <f t="shared" si="0"/>
        <v>0</v>
      </c>
    </row>
    <row r="55" spans="1:3" hidden="1">
      <c r="A55" s="9">
        <v>30</v>
      </c>
      <c r="B55" s="9">
        <v>4</v>
      </c>
      <c r="C55" s="9">
        <f>IF(A55=$B$23,B55,0)</f>
        <v>0</v>
      </c>
    </row>
    <row r="56" spans="1:3" hidden="1">
      <c r="A56" s="9">
        <v>31</v>
      </c>
      <c r="B56" s="9">
        <v>6</v>
      </c>
      <c r="C56" s="9">
        <f t="shared" si="0"/>
        <v>0</v>
      </c>
    </row>
    <row r="57" spans="1:3" hidden="1">
      <c r="A57" s="9">
        <v>32</v>
      </c>
      <c r="B57" s="9">
        <v>6</v>
      </c>
      <c r="C57" s="9">
        <f t="shared" si="0"/>
        <v>0</v>
      </c>
    </row>
    <row r="58" spans="1:3" hidden="1">
      <c r="A58" s="9">
        <v>33</v>
      </c>
      <c r="B58" s="9">
        <v>2</v>
      </c>
      <c r="C58" s="9">
        <f t="shared" si="0"/>
        <v>0</v>
      </c>
    </row>
    <row r="59" spans="1:3" hidden="1">
      <c r="A59" s="9">
        <v>34</v>
      </c>
      <c r="B59" s="9">
        <v>7</v>
      </c>
      <c r="C59" s="9">
        <f t="shared" si="0"/>
        <v>0</v>
      </c>
    </row>
    <row r="60" spans="1:3" hidden="1">
      <c r="A60" s="9">
        <v>35</v>
      </c>
      <c r="B60" s="9">
        <v>9</v>
      </c>
      <c r="C60" s="9">
        <f t="shared" si="0"/>
        <v>0</v>
      </c>
    </row>
    <row r="61" spans="1:3" hidden="1">
      <c r="A61" s="9">
        <v>36</v>
      </c>
      <c r="B61" s="9">
        <v>7</v>
      </c>
      <c r="C61" s="9">
        <f t="shared" si="0"/>
        <v>0</v>
      </c>
    </row>
    <row r="62" spans="1:3" hidden="1">
      <c r="A62" s="9">
        <v>37</v>
      </c>
      <c r="B62" s="9">
        <v>5</v>
      </c>
      <c r="C62" s="9">
        <f t="shared" si="0"/>
        <v>0</v>
      </c>
    </row>
    <row r="63" spans="1:3" hidden="1">
      <c r="A63" s="9">
        <v>38</v>
      </c>
      <c r="B63" s="9">
        <v>5</v>
      </c>
      <c r="C63" s="9">
        <f t="shared" si="0"/>
        <v>0</v>
      </c>
    </row>
    <row r="64" spans="1:3" hidden="1">
      <c r="A64" s="9">
        <v>39</v>
      </c>
      <c r="B64" s="9">
        <v>2</v>
      </c>
      <c r="C64" s="9">
        <f t="shared" si="0"/>
        <v>0</v>
      </c>
    </row>
    <row r="65" spans="1:8" hidden="1">
      <c r="A65" s="9">
        <v>40</v>
      </c>
      <c r="B65" s="9">
        <v>2</v>
      </c>
      <c r="C65" s="9">
        <f t="shared" si="0"/>
        <v>0</v>
      </c>
    </row>
    <row r="66" spans="1:8" hidden="1">
      <c r="A66" s="9">
        <v>41</v>
      </c>
      <c r="B66" s="9">
        <v>6</v>
      </c>
      <c r="C66" s="9">
        <f t="shared" si="0"/>
        <v>0</v>
      </c>
    </row>
    <row r="67" spans="1:8" hidden="1">
      <c r="A67" s="9">
        <v>42</v>
      </c>
      <c r="B67" s="9">
        <v>9</v>
      </c>
      <c r="C67" s="9">
        <f t="shared" si="0"/>
        <v>0</v>
      </c>
    </row>
    <row r="68" spans="1:8" hidden="1">
      <c r="A68" s="9">
        <v>43</v>
      </c>
      <c r="B68" s="9">
        <v>8</v>
      </c>
      <c r="C68" s="9">
        <f t="shared" si="0"/>
        <v>0</v>
      </c>
    </row>
    <row r="69" spans="1:8" hidden="1">
      <c r="A69" s="9">
        <v>44</v>
      </c>
      <c r="B69" s="9">
        <v>9</v>
      </c>
      <c r="C69" s="9">
        <f t="shared" si="0"/>
        <v>0</v>
      </c>
    </row>
    <row r="70" spans="1:8" hidden="1">
      <c r="A70" s="9">
        <v>45</v>
      </c>
      <c r="B70" s="9">
        <v>8</v>
      </c>
      <c r="C70" s="9">
        <f t="shared" si="0"/>
        <v>0</v>
      </c>
    </row>
    <row r="71" spans="1:8" hidden="1">
      <c r="A71" s="9" t="s">
        <v>4</v>
      </c>
      <c r="C71" s="5">
        <f>SUM(C26:C70)</f>
        <v>9</v>
      </c>
      <c r="D71" s="5">
        <f>B23</f>
        <v>5</v>
      </c>
      <c r="E71" s="5">
        <f>B14</f>
        <v>111</v>
      </c>
      <c r="F71" s="5">
        <f>B17</f>
        <v>1111</v>
      </c>
      <c r="G71" s="5">
        <f>B19</f>
        <v>11111</v>
      </c>
      <c r="H71" s="5">
        <f>G71/C71</f>
        <v>1234.5555555555557</v>
      </c>
    </row>
    <row r="72" spans="1:8" hidden="1">
      <c r="C72" s="5">
        <f>D72/9</f>
        <v>1.3888888888888888</v>
      </c>
      <c r="D72" s="5">
        <f>D71*2.5</f>
        <v>12.5</v>
      </c>
      <c r="E72" s="5">
        <f>E71*2.5</f>
        <v>277.5</v>
      </c>
      <c r="F72" s="5">
        <f>F71*2.5</f>
        <v>2777.5</v>
      </c>
      <c r="G72" s="5">
        <f>G71*2.5</f>
        <v>27777.5</v>
      </c>
      <c r="H72" s="5">
        <f>H71*2.5</f>
        <v>3086.3888888888891</v>
      </c>
    </row>
    <row r="73" spans="1:8" hidden="1">
      <c r="C73" s="5">
        <f>(C72+C71)/2</f>
        <v>5.1944444444444446</v>
      </c>
      <c r="D73" s="5">
        <f>$C$73*D71</f>
        <v>25.972222222222221</v>
      </c>
      <c r="E73" s="5">
        <f>$C$73*E71</f>
        <v>576.58333333333337</v>
      </c>
      <c r="F73" s="5">
        <f>$C$73*F71</f>
        <v>5771.0277777777783</v>
      </c>
      <c r="G73" s="5">
        <f>$C$73*G71</f>
        <v>57715.472222222226</v>
      </c>
      <c r="H73" s="5">
        <f>$C$73*H71</f>
        <v>6412.8302469135806</v>
      </c>
    </row>
    <row r="74" spans="1:8" hidden="1">
      <c r="C74" s="5">
        <f>SUM(C72:C73)</f>
        <v>6.5833333333333339</v>
      </c>
      <c r="D74" s="5">
        <f>$C$74*C71</f>
        <v>59.250000000000007</v>
      </c>
      <c r="E74" s="5">
        <f>$C$74*D71</f>
        <v>32.916666666666671</v>
      </c>
      <c r="F74" s="5">
        <f>$C$74*E71</f>
        <v>730.75000000000011</v>
      </c>
      <c r="G74" s="5">
        <f>$C$74*F71</f>
        <v>7314.0833333333339</v>
      </c>
      <c r="H74" s="5">
        <f>$C$74*G71</f>
        <v>73147.416666666672</v>
      </c>
    </row>
  </sheetData>
  <sheetProtection password="BC06"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2"/>
  <sheetViews>
    <sheetView zoomScaleNormal="100" workbookViewId="0"/>
  </sheetViews>
  <sheetFormatPr defaultColWidth="0" defaultRowHeight="12.75" zeroHeight="1"/>
  <cols>
    <col min="1" max="1" width="4.140625" style="3" customWidth="1"/>
    <col min="2" max="2" width="10.140625" style="3" customWidth="1"/>
    <col min="3" max="3" width="10.28515625" style="3" customWidth="1"/>
    <col min="4" max="4" width="19" style="3" customWidth="1"/>
    <col min="5" max="5" width="21.140625" style="3" customWidth="1"/>
    <col min="6" max="6" width="12.140625" style="3" customWidth="1"/>
    <col min="7" max="8" width="15.42578125" style="3" customWidth="1"/>
    <col min="9" max="9" width="4.28515625" style="3" customWidth="1"/>
    <col min="10" max="10" width="5.7109375" style="3" customWidth="1"/>
    <col min="11" max="12" width="9.85546875" style="3" hidden="1"/>
    <col min="13" max="13" width="29.28515625" style="3" hidden="1"/>
    <col min="14" max="14" width="14.85546875" style="3" hidden="1"/>
    <col min="15" max="15" width="9.140625" style="3" hidden="1"/>
    <col min="16" max="16" width="10.140625" style="3" hidden="1"/>
    <col min="17" max="17" width="10.28515625" style="3" hidden="1"/>
    <col min="18" max="18" width="15.42578125" style="3" hidden="1"/>
    <col min="19" max="19" width="7.42578125" style="3" hidden="1"/>
    <col min="20" max="20" width="12.140625" style="3" hidden="1"/>
    <col min="21" max="21" width="11.28515625" style="3" hidden="1"/>
    <col min="22" max="22" width="15" style="3" hidden="1"/>
    <col min="23" max="23" width="4.28515625" style="3" hidden="1"/>
    <col min="24" max="24" width="9.85546875" style="3" hidden="1"/>
    <col min="25" max="25" width="9.140625" style="3" hidden="1"/>
    <col min="26" max="26" width="10.28515625" style="3" hidden="1"/>
    <col min="27" max="27" width="15" style="3" hidden="1"/>
    <col min="28" max="28" width="14.28515625" style="3" hidden="1"/>
    <col min="29" max="29" width="12.28515625" style="3" hidden="1"/>
    <col min="30" max="30" width="15.7109375" style="3" hidden="1"/>
    <col min="31" max="37" width="0" style="3" hidden="1"/>
    <col min="38" max="16384" width="9.140625" style="3" hidden="1"/>
  </cols>
  <sheetData>
    <row r="1" spans="1:37" ht="41.25" customHeight="1">
      <c r="B1" s="65" t="s">
        <v>78</v>
      </c>
      <c r="C1" s="65"/>
      <c r="D1" s="65"/>
      <c r="E1" s="65"/>
      <c r="F1" s="65"/>
      <c r="G1" s="65"/>
      <c r="H1" s="65"/>
      <c r="I1" s="65"/>
      <c r="J1" s="65"/>
      <c r="P1" s="11" t="s">
        <v>47</v>
      </c>
    </row>
    <row r="2" spans="1:37" ht="6.75" customHeight="1"/>
    <row r="3" spans="1:37" ht="105.75" customHeight="1">
      <c r="B3" s="66" t="str">
        <f>P3</f>
        <v>Enter your name here is the CEO of a prominent retailer of watches, Sandglass, Inc. (Sandglass).  Sandglass specializes in customized, high-performance watches that incorporate technology and connect a customer's watch to third-party devices like cameras, phones, and tablets.  The watches can be customized to include features ranging from a heartbeat monitor and insulin pump to being solar powered.  As the watches Sandglass sells have a lot of technological components, they have a comprehensive warranty covering any malfunctions occuring during the first two years of use.  Enter your name here has determined that warranty costs will equal 4% of total sales.  Sales Information for the year ended December 31, 20X1 and 20X2 is as follows:</v>
      </c>
      <c r="C3" s="66"/>
      <c r="D3" s="66"/>
      <c r="E3" s="66"/>
      <c r="F3" s="66"/>
      <c r="G3" s="66"/>
      <c r="H3" s="66"/>
      <c r="I3" s="66"/>
      <c r="J3" s="66"/>
      <c r="K3" s="12"/>
      <c r="L3" s="12"/>
      <c r="M3" s="12"/>
      <c r="P3" s="66" t="str">
        <f>CONCATENATE(Identification!$B$1,AK3, Identification!$B$1, " has determined that warranty costs will equal ",TEXT(AD17,"#0%"), " of total sales.  Sales Information for the year ended December 31, 20X1 and 20X2 is as follows:")</f>
        <v>Enter your name here is the CEO of a prominent retailer of watches, Sandglass, Inc. (Sandglass).  Sandglass specializes in customized, high-performance watches that incorporate technology and connect a customer's watch to third-party devices like cameras, phones, and tablets.  The watches can be customized to include features ranging from a heartbeat monitor and insulin pump to being solar powered.  As the watches Sandglass sells have a lot of technological components, they have a comprehensive warranty covering any malfunctions occuring during the first two years of use.  Enter your name here has determined that warranty costs will equal 4% of total sales.  Sales Information for the year ended December 31, 20X1 and 20X2 is as follows:</v>
      </c>
      <c r="Q3" s="66"/>
      <c r="R3" s="66"/>
      <c r="S3" s="66"/>
      <c r="T3" s="66"/>
      <c r="U3" s="66"/>
      <c r="V3" s="66"/>
      <c r="W3" s="66"/>
      <c r="X3" s="66"/>
      <c r="AE3" s="5">
        <f>Identification!C71</f>
        <v>9</v>
      </c>
      <c r="AF3" s="5">
        <f>Identification!D71</f>
        <v>5</v>
      </c>
      <c r="AG3" s="5">
        <f>Identification!E71</f>
        <v>111</v>
      </c>
      <c r="AH3" s="5">
        <f>Identification!F71</f>
        <v>1111</v>
      </c>
      <c r="AI3" s="5">
        <f>Identification!G71</f>
        <v>11111</v>
      </c>
      <c r="AJ3" s="5">
        <f>Identification!H71</f>
        <v>1234.5555555555557</v>
      </c>
      <c r="AK3" s="13" t="s">
        <v>80</v>
      </c>
    </row>
    <row r="4" spans="1:37" ht="6.75" customHeight="1">
      <c r="B4" s="3" t="s">
        <v>9</v>
      </c>
      <c r="C4" s="67" t="s">
        <v>16</v>
      </c>
      <c r="D4" s="67"/>
      <c r="E4" s="67"/>
      <c r="F4" s="67"/>
      <c r="G4" s="67"/>
      <c r="H4" s="67"/>
      <c r="P4" s="3" t="s">
        <v>9</v>
      </c>
      <c r="Q4" s="73" t="s">
        <v>16</v>
      </c>
      <c r="R4" s="73"/>
      <c r="S4" s="73"/>
      <c r="T4" s="73"/>
      <c r="U4" s="73"/>
      <c r="V4" s="73"/>
      <c r="AE4" s="5">
        <f>Identification!C72</f>
        <v>1.3888888888888888</v>
      </c>
      <c r="AF4" s="5">
        <f>Identification!D72</f>
        <v>12.5</v>
      </c>
      <c r="AG4" s="5">
        <f>Identification!E72</f>
        <v>277.5</v>
      </c>
      <c r="AH4" s="5">
        <f>Identification!F72</f>
        <v>2777.5</v>
      </c>
      <c r="AI4" s="5">
        <f>Identification!G72</f>
        <v>27777.5</v>
      </c>
      <c r="AJ4" s="5">
        <f>Identification!H72</f>
        <v>3086.3888888888891</v>
      </c>
    </row>
    <row r="5" spans="1:37">
      <c r="C5" s="67"/>
      <c r="D5" s="67"/>
      <c r="E5" s="67"/>
      <c r="F5" s="67"/>
      <c r="G5" s="67"/>
      <c r="H5" s="67"/>
      <c r="Q5" s="73"/>
      <c r="R5" s="73"/>
      <c r="S5" s="73"/>
      <c r="T5" s="73"/>
      <c r="U5" s="73"/>
      <c r="V5" s="73"/>
      <c r="AE5" s="5">
        <f>Identification!C73</f>
        <v>5.1944444444444446</v>
      </c>
      <c r="AF5" s="5">
        <f>Identification!D73</f>
        <v>25.972222222222221</v>
      </c>
      <c r="AG5" s="5">
        <f>Identification!E73</f>
        <v>576.58333333333337</v>
      </c>
      <c r="AH5" s="5">
        <f>Identification!F73</f>
        <v>5771.0277777777783</v>
      </c>
      <c r="AI5" s="5">
        <f>Identification!G73</f>
        <v>57715.472222222226</v>
      </c>
      <c r="AJ5" s="5">
        <f>Identification!H73</f>
        <v>6412.8302469135806</v>
      </c>
      <c r="AK5" s="13" t="s">
        <v>75</v>
      </c>
    </row>
    <row r="6" spans="1:37">
      <c r="C6" s="68" t="s">
        <v>14</v>
      </c>
      <c r="D6" s="68"/>
      <c r="E6" s="33"/>
      <c r="F6" s="34" t="s">
        <v>11</v>
      </c>
      <c r="G6" s="33"/>
      <c r="H6" s="34" t="s">
        <v>12</v>
      </c>
      <c r="Q6" s="72" t="s">
        <v>14</v>
      </c>
      <c r="R6" s="72"/>
      <c r="S6" s="14"/>
      <c r="T6" s="15" t="s">
        <v>11</v>
      </c>
      <c r="U6" s="14"/>
      <c r="V6" s="15" t="s">
        <v>12</v>
      </c>
      <c r="AE6" s="5">
        <f>Identification!C74</f>
        <v>6.5833333333333339</v>
      </c>
      <c r="AF6" s="5">
        <f>Identification!D74</f>
        <v>59.250000000000007</v>
      </c>
      <c r="AG6" s="5">
        <f>Identification!E74</f>
        <v>32.916666666666671</v>
      </c>
      <c r="AH6" s="5">
        <f>Identification!F74</f>
        <v>730.75000000000011</v>
      </c>
      <c r="AI6" s="5">
        <f>Identification!G74</f>
        <v>7314.0833333333339</v>
      </c>
      <c r="AJ6" s="5">
        <f>Identification!H74</f>
        <v>73147.416666666672</v>
      </c>
      <c r="AK6" s="11" t="s">
        <v>39</v>
      </c>
    </row>
    <row r="7" spans="1:37">
      <c r="C7" s="69">
        <f>Q7</f>
        <v>6600</v>
      </c>
      <c r="D7" s="69"/>
      <c r="E7" s="35"/>
      <c r="F7" s="40">
        <f>T7</f>
        <v>2500</v>
      </c>
      <c r="G7" s="35"/>
      <c r="H7" s="35">
        <f>V7</f>
        <v>16500000</v>
      </c>
      <c r="Q7" s="78">
        <f>AB17</f>
        <v>6600</v>
      </c>
      <c r="R7" s="78"/>
      <c r="S7" s="16"/>
      <c r="T7" s="17">
        <f>AC17</f>
        <v>2500</v>
      </c>
      <c r="U7" s="16"/>
      <c r="V7" s="16">
        <f>AA17</f>
        <v>16500000</v>
      </c>
      <c r="AE7" s="6"/>
      <c r="AF7" s="6"/>
      <c r="AG7" s="6"/>
      <c r="AH7" s="6"/>
      <c r="AI7" s="6"/>
      <c r="AJ7" s="6"/>
    </row>
    <row r="8" spans="1:37">
      <c r="C8" s="37"/>
      <c r="D8" s="37"/>
      <c r="E8" s="35"/>
      <c r="F8" s="36"/>
      <c r="G8" s="35"/>
      <c r="H8" s="35"/>
      <c r="Q8" s="18"/>
      <c r="R8" s="18"/>
      <c r="S8" s="16"/>
      <c r="T8" s="17"/>
      <c r="U8" s="16"/>
      <c r="V8" s="16"/>
    </row>
    <row r="9" spans="1:37">
      <c r="C9" s="67" t="s">
        <v>31</v>
      </c>
      <c r="D9" s="67"/>
      <c r="E9" s="67"/>
      <c r="F9" s="67"/>
      <c r="G9" s="67"/>
      <c r="H9" s="67"/>
      <c r="Q9" s="73" t="s">
        <v>31</v>
      </c>
      <c r="R9" s="73"/>
      <c r="S9" s="73"/>
      <c r="T9" s="73"/>
      <c r="U9" s="73"/>
      <c r="V9" s="73"/>
    </row>
    <row r="10" spans="1:37">
      <c r="C10" s="67"/>
      <c r="D10" s="67"/>
      <c r="E10" s="67"/>
      <c r="F10" s="67"/>
      <c r="G10" s="67"/>
      <c r="H10" s="67"/>
      <c r="Q10" s="73"/>
      <c r="R10" s="73"/>
      <c r="S10" s="73"/>
      <c r="T10" s="73"/>
      <c r="U10" s="73"/>
      <c r="V10" s="73"/>
    </row>
    <row r="11" spans="1:37">
      <c r="C11" s="68" t="s">
        <v>14</v>
      </c>
      <c r="D11" s="68"/>
      <c r="E11" s="33"/>
      <c r="F11" s="34" t="s">
        <v>11</v>
      </c>
      <c r="G11" s="33"/>
      <c r="H11" s="34" t="s">
        <v>12</v>
      </c>
      <c r="Q11" s="72" t="s">
        <v>14</v>
      </c>
      <c r="R11" s="72"/>
      <c r="S11" s="14"/>
      <c r="T11" s="15" t="s">
        <v>11</v>
      </c>
      <c r="U11" s="14"/>
      <c r="V11" s="15" t="s">
        <v>12</v>
      </c>
    </row>
    <row r="12" spans="1:37">
      <c r="C12" s="69">
        <f>Q12</f>
        <v>7100</v>
      </c>
      <c r="D12" s="69"/>
      <c r="E12" s="38"/>
      <c r="F12" s="40">
        <f>T12</f>
        <v>3000</v>
      </c>
      <c r="G12" s="38"/>
      <c r="H12" s="39">
        <f>V12</f>
        <v>21300000</v>
      </c>
      <c r="Q12" s="75">
        <f>AB21</f>
        <v>7100</v>
      </c>
      <c r="R12" s="76"/>
      <c r="S12" s="19"/>
      <c r="T12" s="20">
        <f>AC21</f>
        <v>3000</v>
      </c>
      <c r="U12" s="19"/>
      <c r="V12" s="21">
        <f>Q12*T12</f>
        <v>21300000</v>
      </c>
    </row>
    <row r="13" spans="1:37">
      <c r="C13" s="37"/>
      <c r="D13" s="37"/>
      <c r="E13" s="35"/>
      <c r="F13" s="36"/>
      <c r="G13" s="35"/>
      <c r="H13" s="35"/>
      <c r="Q13" s="18"/>
      <c r="R13" s="18"/>
      <c r="S13" s="16"/>
      <c r="T13" s="17"/>
      <c r="U13" s="16"/>
      <c r="V13" s="16"/>
    </row>
    <row r="14" spans="1:37">
      <c r="AE14" s="5">
        <f>AE3*3</f>
        <v>27</v>
      </c>
      <c r="AF14" s="5">
        <f>AF3*3</f>
        <v>15</v>
      </c>
      <c r="AG14" s="5"/>
      <c r="AH14" s="5"/>
      <c r="AI14" s="5"/>
      <c r="AJ14" s="5"/>
    </row>
    <row r="15" spans="1:37" ht="38.25" customHeight="1">
      <c r="A15" s="22" t="s">
        <v>15</v>
      </c>
      <c r="B15" s="70" t="s">
        <v>79</v>
      </c>
      <c r="C15" s="70"/>
      <c r="D15" s="70"/>
      <c r="E15" s="70"/>
      <c r="F15" s="70"/>
      <c r="G15" s="70"/>
      <c r="H15" s="70"/>
      <c r="I15" s="70"/>
      <c r="J15" s="70"/>
      <c r="K15" s="23"/>
      <c r="L15" s="23"/>
      <c r="M15" s="23"/>
      <c r="N15" s="3" t="str">
        <f>$R$27</f>
        <v>Cash</v>
      </c>
      <c r="O15" s="22" t="s">
        <v>15</v>
      </c>
      <c r="P15" s="70" t="s">
        <v>22</v>
      </c>
      <c r="Q15" s="70"/>
      <c r="R15" s="70"/>
      <c r="S15" s="70"/>
      <c r="T15" s="70"/>
      <c r="U15" s="70"/>
      <c r="V15" s="70"/>
      <c r="W15" s="70"/>
      <c r="X15" s="70"/>
      <c r="AE15" s="5">
        <f>AE14+100</f>
        <v>127</v>
      </c>
      <c r="AF15" s="5">
        <f>AE15+AF14</f>
        <v>142</v>
      </c>
      <c r="AG15" s="5">
        <f>Identification!E77</f>
        <v>0</v>
      </c>
      <c r="AH15" s="5">
        <f>Identification!F77</f>
        <v>0</v>
      </c>
      <c r="AI15" s="5">
        <f>Identification!G77</f>
        <v>0</v>
      </c>
      <c r="AJ15" s="5">
        <f>Identification!H77</f>
        <v>0</v>
      </c>
      <c r="AK15" s="11" t="s">
        <v>51</v>
      </c>
    </row>
    <row r="16" spans="1:37">
      <c r="N16" s="3" t="str">
        <f>$R$50</f>
        <v>Interest Expense</v>
      </c>
      <c r="AA16" s="11" t="s">
        <v>26</v>
      </c>
      <c r="AB16" s="3" t="s">
        <v>13</v>
      </c>
      <c r="AC16" s="3" t="s">
        <v>11</v>
      </c>
      <c r="AD16" s="3" t="s">
        <v>10</v>
      </c>
      <c r="AE16" s="5">
        <f>AE5*AE15</f>
        <v>659.69444444444446</v>
      </c>
      <c r="AF16" s="5">
        <f>AE16+AF15</f>
        <v>801.69444444444446</v>
      </c>
      <c r="AG16" s="5">
        <f>Identification!E78</f>
        <v>0</v>
      </c>
      <c r="AH16" s="5">
        <f>Identification!F78</f>
        <v>0</v>
      </c>
      <c r="AI16" s="5">
        <f>Identification!G78</f>
        <v>0</v>
      </c>
      <c r="AJ16" s="5">
        <f>Identification!H78</f>
        <v>0</v>
      </c>
      <c r="AK16" s="13" t="s">
        <v>84</v>
      </c>
    </row>
    <row r="17" spans="1:36" ht="23.25" customHeight="1">
      <c r="B17" s="41" t="s">
        <v>5</v>
      </c>
      <c r="C17" s="41"/>
      <c r="D17" s="61" t="s">
        <v>6</v>
      </c>
      <c r="E17" s="62"/>
      <c r="F17" s="63"/>
      <c r="G17" s="41" t="s">
        <v>7</v>
      </c>
      <c r="H17" s="41" t="s">
        <v>8</v>
      </c>
      <c r="I17" s="41"/>
      <c r="N17" s="3" t="str">
        <f>$R$51</f>
        <v>Interest Payable</v>
      </c>
      <c r="P17" s="24" t="s">
        <v>5</v>
      </c>
      <c r="Q17" s="24"/>
      <c r="R17" s="57" t="s">
        <v>6</v>
      </c>
      <c r="S17" s="58"/>
      <c r="T17" s="59"/>
      <c r="U17" s="24" t="s">
        <v>7</v>
      </c>
      <c r="V17" s="24" t="s">
        <v>8</v>
      </c>
      <c r="W17" s="24"/>
      <c r="AA17" s="25">
        <f>AB17*AC17</f>
        <v>16500000</v>
      </c>
      <c r="AB17" s="26">
        <f>AF17</f>
        <v>6600</v>
      </c>
      <c r="AC17" s="3">
        <f>IF(AF17&gt;2500,2500,1250)</f>
        <v>2500</v>
      </c>
      <c r="AD17" s="27">
        <f>IF(AF17&gt;2500,0.04,0.03)</f>
        <v>0.04</v>
      </c>
      <c r="AE17" s="5">
        <f>IF(AE16&lt;1000,AE16*10,AE16)</f>
        <v>6596.9444444444443</v>
      </c>
      <c r="AF17" s="1">
        <f>ROUND(AE17,-2)</f>
        <v>6600</v>
      </c>
      <c r="AG17" s="5">
        <f>Identification!E79</f>
        <v>0</v>
      </c>
      <c r="AH17" s="5">
        <f>Identification!F79</f>
        <v>0</v>
      </c>
      <c r="AI17" s="5">
        <f>Identification!G79</f>
        <v>0</v>
      </c>
      <c r="AJ17" s="5">
        <f>Identification!H79</f>
        <v>0</v>
      </c>
    </row>
    <row r="18" spans="1:36" s="42" customFormat="1" ht="21" customHeight="1">
      <c r="B18" s="43" t="s">
        <v>17</v>
      </c>
      <c r="C18" s="44"/>
      <c r="D18" s="74"/>
      <c r="E18" s="74"/>
      <c r="F18" s="44"/>
      <c r="G18" s="51"/>
      <c r="H18" s="44"/>
      <c r="I18" s="44"/>
      <c r="N18" s="42" t="str">
        <f>$R$45</f>
        <v>Note Payable</v>
      </c>
      <c r="P18" s="43" t="s">
        <v>17</v>
      </c>
      <c r="Q18" s="44"/>
      <c r="R18" s="45" t="s">
        <v>18</v>
      </c>
      <c r="S18" s="44"/>
      <c r="T18" s="44"/>
      <c r="U18" s="46">
        <f>V7*AD17</f>
        <v>660000</v>
      </c>
      <c r="V18" s="44"/>
      <c r="W18" s="44"/>
      <c r="AA18" s="47" t="s">
        <v>28</v>
      </c>
      <c r="AB18" s="47" t="s">
        <v>27</v>
      </c>
      <c r="AC18" s="47" t="s">
        <v>23</v>
      </c>
      <c r="AD18" s="47" t="s">
        <v>29</v>
      </c>
    </row>
    <row r="19" spans="1:36" s="42" customFormat="1" ht="21" customHeight="1">
      <c r="C19" s="44"/>
      <c r="D19" s="71"/>
      <c r="E19" s="71"/>
      <c r="F19" s="44"/>
      <c r="G19" s="44"/>
      <c r="H19" s="51"/>
      <c r="I19" s="44"/>
      <c r="N19" s="42" t="str">
        <f>$R$18</f>
        <v>Warranty Expense</v>
      </c>
      <c r="Q19" s="44"/>
      <c r="R19" s="45" t="s">
        <v>19</v>
      </c>
      <c r="S19" s="44"/>
      <c r="T19" s="44"/>
      <c r="U19" s="44"/>
      <c r="V19" s="46">
        <f>V7*AD17</f>
        <v>660000</v>
      </c>
      <c r="W19" s="44"/>
      <c r="AA19" s="48">
        <f>AB21*AC21</f>
        <v>21300000</v>
      </c>
      <c r="AB19" s="49">
        <f>AD17-0.01</f>
        <v>0.03</v>
      </c>
      <c r="AC19" s="48">
        <f>ROUND(AD19*0.5,0)</f>
        <v>330000</v>
      </c>
      <c r="AD19" s="50">
        <f>AA17*AD17</f>
        <v>660000</v>
      </c>
    </row>
    <row r="20" spans="1:36" ht="13.5" thickBot="1">
      <c r="C20" s="2"/>
      <c r="D20" s="2"/>
      <c r="E20" s="2"/>
      <c r="F20" s="2"/>
      <c r="G20" s="2"/>
      <c r="H20" s="2"/>
      <c r="I20" s="2"/>
      <c r="N20" s="3" t="str">
        <f>$R$19</f>
        <v>Warranty Liability</v>
      </c>
      <c r="Q20" s="2"/>
      <c r="R20" s="2"/>
      <c r="S20" s="2"/>
      <c r="T20" s="2"/>
      <c r="U20" s="2"/>
      <c r="V20" s="2"/>
      <c r="W20" s="2"/>
      <c r="AB20" s="11" t="s">
        <v>13</v>
      </c>
      <c r="AC20" s="11" t="s">
        <v>32</v>
      </c>
      <c r="AD20" s="11" t="s">
        <v>30</v>
      </c>
    </row>
    <row r="21" spans="1:36" ht="16.5" customHeight="1" thickBot="1">
      <c r="C21" s="54" t="str">
        <f>Q21</f>
        <v>To record estimated warranty liability equal to 4% of total sales</v>
      </c>
      <c r="D21" s="55"/>
      <c r="E21" s="55"/>
      <c r="F21" s="55"/>
      <c r="G21" s="55"/>
      <c r="H21" s="56"/>
      <c r="I21" s="4"/>
      <c r="Q21" s="54" t="str">
        <f>CONCATENATE("To record estimated warranty liability equal to ",TEXT(AD17,"#0%"), " of total sales")</f>
        <v>To record estimated warranty liability equal to 4% of total sales</v>
      </c>
      <c r="R21" s="55"/>
      <c r="S21" s="55"/>
      <c r="T21" s="55"/>
      <c r="U21" s="55"/>
      <c r="V21" s="56"/>
      <c r="W21" s="4"/>
      <c r="AB21" s="25">
        <f>AB17+500</f>
        <v>7100</v>
      </c>
      <c r="AC21" s="3">
        <f>AC17+500</f>
        <v>3000</v>
      </c>
      <c r="AD21" s="25">
        <f>AA19*AB19</f>
        <v>639000</v>
      </c>
    </row>
    <row r="22" spans="1:36" ht="30" customHeight="1">
      <c r="N22" s="26">
        <f>$U$50</f>
        <v>110000</v>
      </c>
      <c r="AA22" s="11" t="s">
        <v>50</v>
      </c>
      <c r="AB22" s="11" t="s">
        <v>46</v>
      </c>
      <c r="AC22" s="11" t="s">
        <v>36</v>
      </c>
      <c r="AD22" s="11" t="s">
        <v>35</v>
      </c>
    </row>
    <row r="23" spans="1:36">
      <c r="A23" s="22" t="s">
        <v>20</v>
      </c>
      <c r="B23" s="60" t="s">
        <v>21</v>
      </c>
      <c r="C23" s="60"/>
      <c r="D23" s="60"/>
      <c r="E23" s="60"/>
      <c r="F23" s="60"/>
      <c r="G23" s="60"/>
      <c r="H23" s="60"/>
      <c r="I23" s="60"/>
      <c r="J23" s="60"/>
      <c r="K23" s="28"/>
      <c r="L23" s="28"/>
      <c r="M23" s="28"/>
      <c r="N23" s="26">
        <f>$U$57</f>
        <v>154000</v>
      </c>
      <c r="O23" s="22" t="s">
        <v>20</v>
      </c>
      <c r="P23" s="60" t="s">
        <v>21</v>
      </c>
      <c r="Q23" s="60"/>
      <c r="R23" s="60"/>
      <c r="S23" s="60"/>
      <c r="T23" s="60"/>
      <c r="U23" s="60"/>
      <c r="V23" s="60"/>
      <c r="W23" s="60"/>
      <c r="X23" s="60"/>
      <c r="AA23" s="29">
        <f>AD23*AC23*7/12</f>
        <v>154000</v>
      </c>
      <c r="AB23" s="29">
        <f>AD23*AC23*5/12</f>
        <v>110000</v>
      </c>
      <c r="AC23" s="27">
        <f>IF(AD23&gt;2000000,0.08,0.1)</f>
        <v>0.08</v>
      </c>
      <c r="AD23" s="25">
        <f>ROUND(AA17/5,-3)</f>
        <v>3300000</v>
      </c>
    </row>
    <row r="24" spans="1:36">
      <c r="N24" s="26">
        <f>$U$26</f>
        <v>330000</v>
      </c>
    </row>
    <row r="25" spans="1:36" ht="23.25" customHeight="1">
      <c r="B25" s="41" t="s">
        <v>5</v>
      </c>
      <c r="C25" s="41"/>
      <c r="D25" s="61" t="s">
        <v>6</v>
      </c>
      <c r="E25" s="62"/>
      <c r="F25" s="63"/>
      <c r="G25" s="41" t="s">
        <v>7</v>
      </c>
      <c r="H25" s="41" t="s">
        <v>8</v>
      </c>
      <c r="I25" s="41"/>
      <c r="N25" s="26">
        <f>$U$32</f>
        <v>639000</v>
      </c>
      <c r="P25" s="24" t="s">
        <v>5</v>
      </c>
      <c r="Q25" s="24"/>
      <c r="R25" s="57" t="s">
        <v>6</v>
      </c>
      <c r="S25" s="58"/>
      <c r="T25" s="59"/>
      <c r="U25" s="24" t="s">
        <v>7</v>
      </c>
      <c r="V25" s="24" t="s">
        <v>8</v>
      </c>
      <c r="W25" s="24"/>
    </row>
    <row r="26" spans="1:36" s="42" customFormat="1" ht="21" customHeight="1">
      <c r="B26" s="43" t="s">
        <v>25</v>
      </c>
      <c r="C26" s="44"/>
      <c r="D26" s="74"/>
      <c r="E26" s="74"/>
      <c r="F26" s="44"/>
      <c r="G26" s="51"/>
      <c r="H26" s="44"/>
      <c r="I26" s="44"/>
      <c r="N26" s="48">
        <f>$U$18</f>
        <v>660000</v>
      </c>
      <c r="P26" s="43" t="s">
        <v>25</v>
      </c>
      <c r="Q26" s="44"/>
      <c r="R26" s="45" t="s">
        <v>19</v>
      </c>
      <c r="S26" s="44"/>
      <c r="T26" s="44"/>
      <c r="U26" s="46">
        <f>AC19</f>
        <v>330000</v>
      </c>
      <c r="V26" s="44"/>
      <c r="W26" s="44"/>
    </row>
    <row r="27" spans="1:36" s="42" customFormat="1" ht="21" customHeight="1">
      <c r="C27" s="44"/>
      <c r="D27" s="71"/>
      <c r="E27" s="71"/>
      <c r="F27" s="44"/>
      <c r="G27" s="44"/>
      <c r="H27" s="51"/>
      <c r="I27" s="44"/>
      <c r="N27" s="48">
        <f>$V$37</f>
        <v>969000</v>
      </c>
      <c r="Q27" s="44"/>
      <c r="R27" s="45" t="s">
        <v>24</v>
      </c>
      <c r="S27" s="44"/>
      <c r="T27" s="44"/>
      <c r="U27" s="44"/>
      <c r="V27" s="46">
        <f>AC19</f>
        <v>330000</v>
      </c>
      <c r="W27" s="44"/>
    </row>
    <row r="28" spans="1:36" ht="13.5" thickBot="1">
      <c r="C28" s="2"/>
      <c r="D28" s="2"/>
      <c r="E28" s="2"/>
      <c r="F28" s="2"/>
      <c r="G28" s="2"/>
      <c r="H28" s="2"/>
      <c r="I28" s="2"/>
      <c r="N28" s="26">
        <f>$U$44</f>
        <v>3300000</v>
      </c>
      <c r="Q28" s="2"/>
      <c r="R28" s="2"/>
      <c r="S28" s="2"/>
      <c r="T28" s="2"/>
      <c r="U28" s="2"/>
      <c r="V28" s="2"/>
      <c r="W28" s="2"/>
    </row>
    <row r="29" spans="1:36" ht="16.5" customHeight="1" thickBot="1">
      <c r="C29" s="54" t="str">
        <f>Q29</f>
        <v>On July 1, 20X2 Sandglass paid $330,000 repairing watches sold in 20X1</v>
      </c>
      <c r="D29" s="55"/>
      <c r="E29" s="55"/>
      <c r="F29" s="55"/>
      <c r="G29" s="55"/>
      <c r="H29" s="56"/>
      <c r="I29" s="4"/>
      <c r="N29" s="26">
        <f>$V$59</f>
        <v>3564000</v>
      </c>
      <c r="Q29" s="54" t="str">
        <f>CONCATENATE("On July 1, 20X2 Sandglass paid ",TEXT(AC19,"$#,##0"), " repairing watches sold in 20X1")</f>
        <v>On July 1, 20X2 Sandglass paid $330,000 repairing watches sold in 20X1</v>
      </c>
      <c r="R29" s="55"/>
      <c r="S29" s="55"/>
      <c r="T29" s="55"/>
      <c r="U29" s="55"/>
      <c r="V29" s="56"/>
      <c r="W29" s="4"/>
    </row>
    <row r="30" spans="1:36" ht="30" customHeight="1"/>
    <row r="31" spans="1:36" ht="23.25" customHeight="1">
      <c r="B31" s="41" t="s">
        <v>5</v>
      </c>
      <c r="C31" s="41"/>
      <c r="D31" s="61" t="s">
        <v>6</v>
      </c>
      <c r="E31" s="62"/>
      <c r="F31" s="63"/>
      <c r="G31" s="41" t="s">
        <v>7</v>
      </c>
      <c r="H31" s="41" t="s">
        <v>8</v>
      </c>
      <c r="I31" s="41"/>
      <c r="P31" s="24" t="s">
        <v>5</v>
      </c>
      <c r="Q31" s="24"/>
      <c r="R31" s="57" t="s">
        <v>6</v>
      </c>
      <c r="S31" s="58"/>
      <c r="T31" s="59"/>
      <c r="U31" s="24" t="s">
        <v>7</v>
      </c>
      <c r="V31" s="24" t="s">
        <v>8</v>
      </c>
      <c r="W31" s="24"/>
    </row>
    <row r="32" spans="1:36" s="42" customFormat="1" ht="21" customHeight="1">
      <c r="B32" s="93" t="s">
        <v>43</v>
      </c>
      <c r="C32" s="44"/>
      <c r="D32" s="74"/>
      <c r="E32" s="74"/>
      <c r="F32" s="44"/>
      <c r="G32" s="51"/>
      <c r="H32" s="44"/>
      <c r="I32" s="44"/>
      <c r="P32" s="43" t="s">
        <v>25</v>
      </c>
      <c r="Q32" s="44"/>
      <c r="R32" s="45" t="s">
        <v>18</v>
      </c>
      <c r="S32" s="44"/>
      <c r="T32" s="44"/>
      <c r="U32" s="46">
        <f>AD21</f>
        <v>639000</v>
      </c>
      <c r="V32" s="44"/>
      <c r="W32" s="44"/>
    </row>
    <row r="33" spans="1:24" s="42" customFormat="1" ht="21" customHeight="1">
      <c r="C33" s="44"/>
      <c r="D33" s="71"/>
      <c r="E33" s="71"/>
      <c r="F33" s="44"/>
      <c r="G33" s="44"/>
      <c r="H33" s="51"/>
      <c r="I33" s="44"/>
      <c r="Q33" s="44"/>
      <c r="R33" s="45" t="s">
        <v>19</v>
      </c>
      <c r="S33" s="44"/>
      <c r="T33" s="44"/>
      <c r="U33" s="44"/>
      <c r="V33" s="46">
        <f>AD21</f>
        <v>639000</v>
      </c>
      <c r="W33" s="44"/>
    </row>
    <row r="34" spans="1:24" ht="13.5" thickBot="1">
      <c r="C34" s="2"/>
      <c r="D34" s="2"/>
      <c r="E34" s="2"/>
      <c r="F34" s="2"/>
      <c r="G34" s="2"/>
      <c r="H34" s="2"/>
      <c r="I34" s="2"/>
      <c r="Q34" s="2"/>
      <c r="R34" s="2"/>
      <c r="S34" s="2"/>
      <c r="T34" s="2"/>
      <c r="U34" s="2"/>
      <c r="V34" s="2"/>
      <c r="W34" s="2"/>
    </row>
    <row r="35" spans="1:24" ht="54.75" customHeight="1" thickBot="1">
      <c r="C35" s="54" t="str">
        <f>Q35</f>
        <v>As of December 31, 20X2, Sandglass CEO, Enter your name here determined that 3% would be a better estimation rate for sales occuring during 20X2.  Record the estimated warranty liability for 20X2 sales.  No adjustments are needed for the rate used in 20X1.</v>
      </c>
      <c r="D35" s="55"/>
      <c r="E35" s="55"/>
      <c r="F35" s="55"/>
      <c r="G35" s="55"/>
      <c r="H35" s="56"/>
      <c r="I35" s="4"/>
      <c r="Q35" s="54" t="str">
        <f>CONCATENATE("As of December 31, 20X2, Sandglass CEO, ",Identification!$B$1, " determined that ", TEXT(AB19,"#0%"), " would be a better estimation rate for sales occuring during 20X2.  Record the estimated warranty liability for 20X2 sales.  No adjustments are needed for the rate used in 20X1.")</f>
        <v>As of December 31, 20X2, Sandglass CEO, Enter your name here determined that 3% would be a better estimation rate for sales occuring during 20X2.  Record the estimated warranty liability for 20X2 sales.  No adjustments are needed for the rate used in 20X1.</v>
      </c>
      <c r="R35" s="55"/>
      <c r="S35" s="55"/>
      <c r="T35" s="55"/>
      <c r="U35" s="55"/>
      <c r="V35" s="56"/>
      <c r="W35" s="4"/>
    </row>
    <row r="36" spans="1:24" ht="52.5" customHeight="1" thickBot="1"/>
    <row r="37" spans="1:24" ht="48.75" customHeight="1" thickBot="1">
      <c r="A37" s="53" t="s">
        <v>33</v>
      </c>
      <c r="B37" s="70" t="str">
        <f>P37</f>
        <v>What is the balance of the warranty liability account on December 31, 20X2?  Assume the balance as of January 1, 20X1 was $0.</v>
      </c>
      <c r="C37" s="70"/>
      <c r="D37" s="70"/>
      <c r="E37" s="70"/>
      <c r="F37" s="70"/>
      <c r="H37" s="52"/>
      <c r="O37" s="22" t="s">
        <v>33</v>
      </c>
      <c r="P37" s="65" t="s">
        <v>74</v>
      </c>
      <c r="Q37" s="65"/>
      <c r="R37" s="65"/>
      <c r="S37" s="65"/>
      <c r="T37" s="65"/>
      <c r="V37" s="30">
        <f>V19-U26+V33</f>
        <v>969000</v>
      </c>
    </row>
    <row r="38" spans="1:24" ht="32.25" customHeight="1"/>
    <row r="39" spans="1:24" ht="80.25" customHeight="1">
      <c r="A39" s="22"/>
      <c r="B39" s="77" t="str">
        <f>P39</f>
        <v xml:space="preserve">During 20X2, Sandglass was approached by a third party and presented with an unexpected opportunity to research futuristic technology for its next generation of watches.  Due to the cash requirements needed to perform the research and the short notice, Enter your name here decided to obtain a short note payable from the bank to meet the cash requirements.  The note was issued on August 1, 20X2 in the amount of $3,300,000 at an interest rate of 8% payable at maturity one year later on July 31, 20X3. </v>
      </c>
      <c r="C39" s="77"/>
      <c r="D39" s="77"/>
      <c r="E39" s="77"/>
      <c r="F39" s="77"/>
      <c r="G39" s="77"/>
      <c r="H39" s="77"/>
      <c r="I39" s="77"/>
      <c r="J39" s="77"/>
      <c r="K39" s="31"/>
      <c r="L39" s="31"/>
      <c r="M39" s="31"/>
      <c r="O39" s="22"/>
      <c r="P39" s="64" t="str">
        <f>CONCATENATE(AK5,Identification!$B$1,AK6, " in the amount of ",TEXT(AD23,"$#,##0")," at an interest rate of ",TEXT(AC23,"#0%")," payable at maturity one year later on July 31, 20X3. ")</f>
        <v xml:space="preserve">During 20X2, Sandglass was approached by a third party and presented with an unexpected opportunity to research futuristic technology for its next generation of watches.  Due to the cash requirements needed to perform the research and the short notice, Enter your name here decided to obtain a short note payable from the bank to meet the cash requirements.  The note was issued on August 1, 20X2 in the amount of $3,300,000 at an interest rate of 8% payable at maturity one year later on July 31, 20X3. </v>
      </c>
      <c r="Q39" s="64"/>
      <c r="R39" s="64"/>
      <c r="S39" s="64"/>
      <c r="T39" s="64"/>
      <c r="U39" s="64"/>
      <c r="V39" s="64"/>
      <c r="W39" s="64"/>
      <c r="X39" s="64"/>
    </row>
    <row r="40" spans="1:24"/>
    <row r="41" spans="1:24">
      <c r="A41" s="22" t="s">
        <v>34</v>
      </c>
      <c r="B41" s="60" t="s">
        <v>37</v>
      </c>
      <c r="C41" s="60"/>
      <c r="D41" s="60"/>
      <c r="E41" s="60"/>
      <c r="F41" s="60"/>
      <c r="G41" s="60"/>
      <c r="H41" s="60"/>
      <c r="I41" s="60"/>
      <c r="J41" s="60"/>
      <c r="K41" s="28"/>
      <c r="L41" s="28"/>
      <c r="M41" s="28"/>
      <c r="O41" s="22" t="s">
        <v>34</v>
      </c>
      <c r="P41" s="60" t="s">
        <v>37</v>
      </c>
      <c r="Q41" s="60"/>
      <c r="R41" s="60"/>
      <c r="S41" s="60"/>
      <c r="T41" s="60"/>
      <c r="U41" s="60"/>
      <c r="V41" s="60"/>
      <c r="W41" s="60"/>
      <c r="X41" s="60"/>
    </row>
    <row r="42" spans="1:24"/>
    <row r="43" spans="1:24" ht="23.25" customHeight="1">
      <c r="B43" s="41" t="s">
        <v>5</v>
      </c>
      <c r="C43" s="41"/>
      <c r="D43" s="61" t="s">
        <v>6</v>
      </c>
      <c r="E43" s="62"/>
      <c r="F43" s="63"/>
      <c r="G43" s="41" t="s">
        <v>7</v>
      </c>
      <c r="H43" s="41" t="s">
        <v>8</v>
      </c>
      <c r="I43" s="41"/>
      <c r="P43" s="24" t="s">
        <v>5</v>
      </c>
      <c r="Q43" s="24"/>
      <c r="R43" s="57" t="s">
        <v>6</v>
      </c>
      <c r="S43" s="58"/>
      <c r="T43" s="59"/>
      <c r="U43" s="24" t="s">
        <v>7</v>
      </c>
      <c r="V43" s="24" t="s">
        <v>8</v>
      </c>
      <c r="W43" s="24"/>
    </row>
    <row r="44" spans="1:24" s="42" customFormat="1" ht="21" customHeight="1">
      <c r="B44" s="43" t="s">
        <v>38</v>
      </c>
      <c r="C44" s="44"/>
      <c r="D44" s="74"/>
      <c r="E44" s="74"/>
      <c r="F44" s="44"/>
      <c r="G44" s="51"/>
      <c r="H44" s="44"/>
      <c r="I44" s="44"/>
      <c r="P44" s="43" t="s">
        <v>38</v>
      </c>
      <c r="Q44" s="44"/>
      <c r="R44" s="45" t="s">
        <v>24</v>
      </c>
      <c r="S44" s="44"/>
      <c r="T44" s="44"/>
      <c r="U44" s="46">
        <f>AD23</f>
        <v>3300000</v>
      </c>
      <c r="V44" s="44"/>
      <c r="W44" s="44"/>
    </row>
    <row r="45" spans="1:24" s="42" customFormat="1" ht="21" customHeight="1">
      <c r="C45" s="44"/>
      <c r="D45" s="71"/>
      <c r="E45" s="71"/>
      <c r="F45" s="44"/>
      <c r="G45" s="44"/>
      <c r="H45" s="51"/>
      <c r="I45" s="44"/>
      <c r="Q45" s="44"/>
      <c r="R45" s="45" t="s">
        <v>41</v>
      </c>
      <c r="S45" s="44"/>
      <c r="T45" s="44"/>
      <c r="U45" s="44"/>
      <c r="V45" s="46">
        <f>AD23</f>
        <v>3300000</v>
      </c>
      <c r="W45" s="44"/>
    </row>
    <row r="46" spans="1:24" ht="13.5" thickBot="1">
      <c r="C46" s="2"/>
      <c r="D46" s="2"/>
      <c r="E46" s="2"/>
      <c r="F46" s="2"/>
      <c r="G46" s="2"/>
      <c r="H46" s="2"/>
      <c r="I46" s="2"/>
      <c r="Q46" s="2"/>
      <c r="R46" s="2"/>
      <c r="S46" s="2"/>
      <c r="T46" s="2"/>
      <c r="U46" s="2"/>
      <c r="V46" s="2"/>
      <c r="W46" s="2"/>
    </row>
    <row r="47" spans="1:24" ht="16.5" customHeight="1" thickBot="1">
      <c r="C47" s="54" t="s">
        <v>40</v>
      </c>
      <c r="D47" s="55"/>
      <c r="E47" s="55"/>
      <c r="F47" s="55"/>
      <c r="G47" s="55"/>
      <c r="H47" s="56"/>
      <c r="I47" s="4"/>
      <c r="Q47" s="54" t="s">
        <v>40</v>
      </c>
      <c r="R47" s="55"/>
      <c r="S47" s="55"/>
      <c r="T47" s="55"/>
      <c r="U47" s="55"/>
      <c r="V47" s="56"/>
      <c r="W47" s="4"/>
    </row>
    <row r="48" spans="1:24" ht="30" customHeight="1"/>
    <row r="49" spans="1:26" ht="22.5" customHeight="1">
      <c r="B49" s="41" t="s">
        <v>5</v>
      </c>
      <c r="C49" s="41"/>
      <c r="D49" s="61" t="s">
        <v>6</v>
      </c>
      <c r="E49" s="62"/>
      <c r="F49" s="63"/>
      <c r="G49" s="41" t="s">
        <v>7</v>
      </c>
      <c r="H49" s="41" t="s">
        <v>8</v>
      </c>
      <c r="I49" s="41"/>
      <c r="P49" s="24" t="s">
        <v>5</v>
      </c>
      <c r="Q49" s="24"/>
      <c r="R49" s="57" t="s">
        <v>6</v>
      </c>
      <c r="S49" s="58"/>
      <c r="T49" s="59"/>
      <c r="U49" s="24" t="s">
        <v>7</v>
      </c>
      <c r="V49" s="24" t="s">
        <v>8</v>
      </c>
      <c r="W49" s="24"/>
    </row>
    <row r="50" spans="1:26" s="42" customFormat="1" ht="21" customHeight="1">
      <c r="B50" s="43" t="s">
        <v>43</v>
      </c>
      <c r="C50" s="44"/>
      <c r="D50" s="74"/>
      <c r="E50" s="74"/>
      <c r="F50" s="44"/>
      <c r="G50" s="51"/>
      <c r="H50" s="44"/>
      <c r="I50" s="44"/>
      <c r="P50" s="43" t="s">
        <v>43</v>
      </c>
      <c r="Q50" s="44"/>
      <c r="R50" s="45" t="s">
        <v>45</v>
      </c>
      <c r="S50" s="44"/>
      <c r="T50" s="44"/>
      <c r="U50" s="46">
        <f>AB23</f>
        <v>110000</v>
      </c>
      <c r="V50" s="44"/>
      <c r="W50" s="44"/>
    </row>
    <row r="51" spans="1:26" s="42" customFormat="1" ht="21" customHeight="1">
      <c r="C51" s="44"/>
      <c r="D51" s="71"/>
      <c r="E51" s="71"/>
      <c r="F51" s="44"/>
      <c r="G51" s="44"/>
      <c r="H51" s="51"/>
      <c r="I51" s="44"/>
      <c r="Q51" s="44"/>
      <c r="R51" s="45" t="s">
        <v>44</v>
      </c>
      <c r="S51" s="44"/>
      <c r="T51" s="44"/>
      <c r="U51" s="44"/>
      <c r="V51" s="46">
        <f>AB23</f>
        <v>110000</v>
      </c>
      <c r="W51" s="44"/>
    </row>
    <row r="52" spans="1:26" ht="13.5" thickBot="1">
      <c r="C52" s="2"/>
      <c r="D52" s="2"/>
      <c r="E52" s="2"/>
      <c r="F52" s="2"/>
      <c r="G52" s="2"/>
      <c r="H52" s="2"/>
      <c r="I52" s="2"/>
      <c r="Q52" s="2"/>
      <c r="R52" s="2"/>
      <c r="S52" s="2"/>
      <c r="T52" s="2"/>
      <c r="U52" s="2"/>
      <c r="V52" s="2"/>
      <c r="W52" s="2"/>
    </row>
    <row r="53" spans="1:26" ht="16.5" customHeight="1" thickBot="1">
      <c r="C53" s="54" t="s">
        <v>42</v>
      </c>
      <c r="D53" s="55"/>
      <c r="E53" s="55"/>
      <c r="F53" s="55"/>
      <c r="G53" s="55"/>
      <c r="H53" s="56"/>
      <c r="I53" s="4"/>
      <c r="Q53" s="54" t="s">
        <v>42</v>
      </c>
      <c r="R53" s="55"/>
      <c r="S53" s="55"/>
      <c r="T53" s="55"/>
      <c r="U53" s="55"/>
      <c r="V53" s="56"/>
      <c r="W53" s="4"/>
    </row>
    <row r="54" spans="1:26" ht="30" customHeight="1">
      <c r="Y54" s="22" t="s">
        <v>69</v>
      </c>
    </row>
    <row r="55" spans="1:26" ht="23.25" customHeight="1">
      <c r="B55" s="41" t="s">
        <v>5</v>
      </c>
      <c r="C55" s="41"/>
      <c r="D55" s="61" t="s">
        <v>6</v>
      </c>
      <c r="E55" s="62"/>
      <c r="F55" s="63"/>
      <c r="G55" s="41" t="s">
        <v>7</v>
      </c>
      <c r="H55" s="41" t="s">
        <v>8</v>
      </c>
      <c r="I55" s="41"/>
      <c r="N55" s="22" t="s">
        <v>70</v>
      </c>
      <c r="P55" s="24" t="s">
        <v>5</v>
      </c>
      <c r="Q55" s="24"/>
      <c r="R55" s="57" t="s">
        <v>6</v>
      </c>
      <c r="S55" s="58"/>
      <c r="T55" s="59"/>
      <c r="U55" s="24" t="s">
        <v>7</v>
      </c>
      <c r="V55" s="24" t="s">
        <v>8</v>
      </c>
      <c r="W55" s="24"/>
    </row>
    <row r="56" spans="1:26" s="42" customFormat="1" ht="21" customHeight="1">
      <c r="B56" s="93" t="s">
        <v>86</v>
      </c>
      <c r="C56" s="44"/>
      <c r="D56" s="74"/>
      <c r="E56" s="74"/>
      <c r="F56" s="44"/>
      <c r="G56" s="51"/>
      <c r="H56" s="44"/>
      <c r="I56" s="44"/>
      <c r="N56" s="42" t="str">
        <f>IF(D56&lt;&gt;$R$59,IF(D56&lt;&gt;"",VLOOKUP(D56,$Y$55:$Z$58,2,FALSE),"N"),"n")</f>
        <v>N</v>
      </c>
      <c r="P56" s="43" t="s">
        <v>48</v>
      </c>
      <c r="Q56" s="44"/>
      <c r="R56" s="45" t="s">
        <v>41</v>
      </c>
      <c r="S56" s="44"/>
      <c r="T56" s="44"/>
      <c r="U56" s="46">
        <f>AD23</f>
        <v>3300000</v>
      </c>
      <c r="V56" s="44"/>
      <c r="W56" s="44"/>
      <c r="Y56" s="45" t="str">
        <f>$R$56</f>
        <v>Note Payable</v>
      </c>
      <c r="Z56" s="79">
        <f>$U$56</f>
        <v>3300000</v>
      </c>
    </row>
    <row r="57" spans="1:26" s="42" customFormat="1" ht="21" customHeight="1">
      <c r="C57" s="44"/>
      <c r="D57" s="74"/>
      <c r="E57" s="74"/>
      <c r="F57" s="44"/>
      <c r="G57" s="51"/>
      <c r="H57" s="46"/>
      <c r="I57" s="44"/>
      <c r="N57" s="42" t="str">
        <f t="shared" ref="N57:N58" si="0">IF(D57&lt;&gt;$R$59,IF(D57&lt;&gt;"",VLOOKUP(D57,$Y$55:$Z$58,2,FALSE),"N"),"n")</f>
        <v>N</v>
      </c>
      <c r="Q57" s="44"/>
      <c r="R57" s="45" t="s">
        <v>45</v>
      </c>
      <c r="S57" s="44"/>
      <c r="T57" s="44"/>
      <c r="U57" s="46">
        <f>AA23</f>
        <v>154000</v>
      </c>
      <c r="V57" s="46"/>
      <c r="W57" s="44"/>
      <c r="Y57" s="45" t="str">
        <f>$R$57</f>
        <v>Interest Expense</v>
      </c>
      <c r="Z57" s="79">
        <f>$U$57</f>
        <v>154000</v>
      </c>
    </row>
    <row r="58" spans="1:26" s="42" customFormat="1" ht="21" customHeight="1">
      <c r="C58" s="44"/>
      <c r="D58" s="74"/>
      <c r="E58" s="74"/>
      <c r="F58" s="44"/>
      <c r="G58" s="80"/>
      <c r="H58" s="46"/>
      <c r="I58" s="44"/>
      <c r="N58" s="42" t="str">
        <f t="shared" si="0"/>
        <v>N</v>
      </c>
      <c r="Q58" s="44"/>
      <c r="R58" s="45" t="s">
        <v>44</v>
      </c>
      <c r="S58" s="44"/>
      <c r="T58" s="44"/>
      <c r="U58" s="81">
        <f>V51</f>
        <v>110000</v>
      </c>
      <c r="V58" s="46"/>
      <c r="W58" s="44"/>
      <c r="Y58" s="45" t="str">
        <f>$R$58</f>
        <v>Interest Payable</v>
      </c>
      <c r="Z58" s="82">
        <f>$U$58</f>
        <v>110000</v>
      </c>
    </row>
    <row r="59" spans="1:26" s="42" customFormat="1" ht="21" customHeight="1">
      <c r="C59" s="44"/>
      <c r="D59" s="71"/>
      <c r="E59" s="71"/>
      <c r="F59" s="44"/>
      <c r="G59" s="44"/>
      <c r="H59" s="51"/>
      <c r="I59" s="44"/>
      <c r="J59" s="50"/>
      <c r="K59" s="50"/>
      <c r="L59" s="50"/>
      <c r="M59" s="50"/>
      <c r="Q59" s="44"/>
      <c r="R59" s="45" t="s">
        <v>24</v>
      </c>
      <c r="S59" s="44"/>
      <c r="T59" s="44"/>
      <c r="U59" s="44"/>
      <c r="V59" s="46">
        <f>U56+U57+U58</f>
        <v>3564000</v>
      </c>
      <c r="W59" s="44"/>
      <c r="X59" s="50"/>
    </row>
    <row r="60" spans="1:26" ht="13.5" thickBot="1">
      <c r="C60" s="2"/>
      <c r="D60" s="2"/>
      <c r="E60" s="2"/>
      <c r="F60" s="2"/>
      <c r="G60" s="2"/>
      <c r="H60" s="2"/>
      <c r="I60" s="2"/>
      <c r="Q60" s="2"/>
      <c r="R60" s="2"/>
      <c r="S60" s="2"/>
      <c r="T60" s="2"/>
      <c r="U60" s="2"/>
      <c r="V60" s="2"/>
      <c r="W60" s="2"/>
    </row>
    <row r="61" spans="1:26" ht="16.5" customHeight="1" thickBot="1">
      <c r="C61" s="54" t="s">
        <v>49</v>
      </c>
      <c r="D61" s="55"/>
      <c r="E61" s="55"/>
      <c r="F61" s="55"/>
      <c r="G61" s="55"/>
      <c r="H61" s="56"/>
      <c r="I61" s="4"/>
      <c r="Q61" s="54" t="s">
        <v>49</v>
      </c>
      <c r="R61" s="55"/>
      <c r="S61" s="55"/>
      <c r="T61" s="55"/>
      <c r="U61" s="55"/>
      <c r="V61" s="56"/>
      <c r="W61" s="4"/>
    </row>
    <row r="62" spans="1:26"/>
    <row r="63" spans="1:26" ht="68.25" customHeight="1">
      <c r="A63" s="22"/>
      <c r="B63" s="64" t="str">
        <f>P63</f>
        <v xml:space="preserve">Due to the success the company experienced while working with the third party to develop futuristic technology, Sandglass is considering attempting to hire the chief engineer it worked with during the research project.  Enter your name here has determined that the company would have to pay Alan, the chief engineer, an annual salary of $240,000 in order for him to consider the change of jobs.  </v>
      </c>
      <c r="C63" s="64"/>
      <c r="D63" s="64"/>
      <c r="E63" s="64"/>
      <c r="F63" s="64"/>
      <c r="G63" s="64"/>
      <c r="H63" s="64"/>
      <c r="I63" s="64"/>
      <c r="J63" s="64"/>
      <c r="K63" s="31"/>
      <c r="L63" s="31"/>
      <c r="M63" s="31"/>
      <c r="O63" s="22"/>
      <c r="P63" s="64" t="str">
        <f>CONCATENATE(AK15,Identification!$B$1,AK16)</f>
        <v xml:space="preserve">Due to the success the company experienced while working with the third party to develop futuristic technology, Sandglass is considering attempting to hire the chief engineer it worked with during the research project.  Enter your name here has determined that the company would have to pay Alan, the chief engineer, an annual salary of $240,000 in order for him to consider the change of jobs.  </v>
      </c>
      <c r="Q63" s="64"/>
      <c r="R63" s="64"/>
      <c r="S63" s="64"/>
      <c r="T63" s="64"/>
      <c r="U63" s="64"/>
      <c r="V63" s="64"/>
      <c r="W63" s="64"/>
      <c r="X63" s="64"/>
    </row>
    <row r="64" spans="1:26"/>
    <row r="65" spans="1:26" ht="31.5" customHeight="1">
      <c r="A65" s="22" t="s">
        <v>34</v>
      </c>
      <c r="B65" s="65" t="s">
        <v>61</v>
      </c>
      <c r="C65" s="65"/>
      <c r="D65" s="65"/>
      <c r="E65" s="65"/>
      <c r="F65" s="65"/>
      <c r="G65" s="65"/>
      <c r="H65" s="65"/>
      <c r="I65" s="65"/>
      <c r="J65" s="65"/>
      <c r="K65" s="32"/>
      <c r="L65" s="32"/>
      <c r="M65" s="32"/>
      <c r="O65" s="22" t="s">
        <v>34</v>
      </c>
      <c r="P65" s="65" t="s">
        <v>61</v>
      </c>
      <c r="Q65" s="65"/>
      <c r="R65" s="65"/>
      <c r="S65" s="65"/>
      <c r="T65" s="65"/>
      <c r="U65" s="65"/>
      <c r="V65" s="65"/>
      <c r="W65" s="65"/>
      <c r="X65" s="65"/>
    </row>
    <row r="66" spans="1:26" ht="25.5" customHeight="1"/>
    <row r="67" spans="1:26" s="84" customFormat="1" ht="20.25" customHeight="1">
      <c r="B67" s="85" t="str">
        <f>P67</f>
        <v>Assume an effective federal income tax rate for Alan of 35%.</v>
      </c>
      <c r="C67" s="85"/>
      <c r="D67" s="85"/>
      <c r="E67" s="85"/>
      <c r="F67" s="85"/>
      <c r="G67" s="85"/>
      <c r="H67" s="85"/>
      <c r="I67" s="85"/>
      <c r="J67" s="85"/>
      <c r="K67" s="86"/>
      <c r="L67" s="86"/>
      <c r="M67" s="86"/>
      <c r="P67" s="87" t="s">
        <v>82</v>
      </c>
      <c r="Q67" s="85"/>
      <c r="R67" s="85"/>
      <c r="S67" s="85"/>
      <c r="T67" s="85"/>
      <c r="U67" s="85"/>
      <c r="V67" s="85"/>
      <c r="W67" s="85"/>
      <c r="X67" s="85"/>
    </row>
    <row r="68" spans="1:26" s="84" customFormat="1" ht="37.5" customHeight="1">
      <c r="B68" s="85" t="str">
        <f t="shared" ref="B68:B73" si="1">P68</f>
        <v>Sandglass operates in a state where the income tax is calculated as 10% of federal income taxes due.</v>
      </c>
      <c r="C68" s="85"/>
      <c r="D68" s="85"/>
      <c r="E68" s="85"/>
      <c r="F68" s="85"/>
      <c r="G68" s="85"/>
      <c r="H68" s="85"/>
      <c r="I68" s="85"/>
      <c r="J68" s="85"/>
      <c r="K68" s="86"/>
      <c r="L68" s="86"/>
      <c r="M68" s="86"/>
      <c r="P68" s="87" t="s">
        <v>76</v>
      </c>
      <c r="Q68" s="85"/>
      <c r="R68" s="85"/>
      <c r="S68" s="85"/>
      <c r="T68" s="85"/>
      <c r="U68" s="85"/>
      <c r="V68" s="85"/>
      <c r="W68" s="85"/>
      <c r="X68" s="85"/>
    </row>
    <row r="69" spans="1:26" s="84" customFormat="1" ht="37.5" customHeight="1">
      <c r="B69" s="85" t="str">
        <f t="shared" si="1"/>
        <v>Assume that gross pay is subject to social security taxes at a 6.5% rate, on an annual base of $150,000.  Assume that Medicare/Medicaid taxes are 1.5% of gross earnings.  These taxes are matched by the employer.</v>
      </c>
      <c r="C69" s="85"/>
      <c r="D69" s="85"/>
      <c r="E69" s="85"/>
      <c r="F69" s="85"/>
      <c r="G69" s="85"/>
      <c r="H69" s="85"/>
      <c r="I69" s="85"/>
      <c r="J69" s="85"/>
      <c r="K69" s="88"/>
      <c r="L69" s="88"/>
      <c r="M69" s="88"/>
      <c r="P69" s="87" t="s">
        <v>83</v>
      </c>
      <c r="Q69" s="89"/>
      <c r="R69" s="89"/>
      <c r="S69" s="89"/>
      <c r="T69" s="89"/>
      <c r="U69" s="89"/>
      <c r="V69" s="89"/>
      <c r="W69" s="89"/>
      <c r="X69" s="89"/>
    </row>
    <row r="70" spans="1:26" s="84" customFormat="1" ht="37.5" customHeight="1">
      <c r="B70" s="85" t="str">
        <f t="shared" si="1"/>
        <v>Sandglass payroll is subject to federal (0.5%) and state (1.5%) unemployment taxes on each employee's gross pay, up to $12,000 per year.</v>
      </c>
      <c r="C70" s="85"/>
      <c r="D70" s="85"/>
      <c r="E70" s="85"/>
      <c r="F70" s="85"/>
      <c r="G70" s="85"/>
      <c r="H70" s="85"/>
      <c r="I70" s="85"/>
      <c r="J70" s="85"/>
      <c r="K70" s="88"/>
      <c r="L70" s="88"/>
      <c r="M70" s="88"/>
      <c r="P70" s="85" t="s">
        <v>52</v>
      </c>
      <c r="Q70" s="89"/>
      <c r="R70" s="89"/>
      <c r="S70" s="89"/>
      <c r="T70" s="89"/>
      <c r="U70" s="89"/>
      <c r="V70" s="89"/>
      <c r="W70" s="89"/>
      <c r="X70" s="89"/>
    </row>
    <row r="71" spans="1:26" s="84" customFormat="1" ht="37.5" customHeight="1">
      <c r="B71" s="85" t="str">
        <f t="shared" si="1"/>
        <v>Sandglass pays for workers' compensation insurance at a rate of 2% of gross pay.  None of this cost is paid by the employee.</v>
      </c>
      <c r="C71" s="85"/>
      <c r="D71" s="85"/>
      <c r="E71" s="85"/>
      <c r="F71" s="85"/>
      <c r="G71" s="85"/>
      <c r="H71" s="85"/>
      <c r="I71" s="85"/>
      <c r="J71" s="85"/>
      <c r="K71" s="86"/>
      <c r="L71" s="86"/>
      <c r="M71" s="86"/>
      <c r="P71" s="87" t="s">
        <v>77</v>
      </c>
      <c r="Q71" s="85"/>
      <c r="R71" s="85"/>
      <c r="S71" s="85"/>
      <c r="T71" s="85"/>
      <c r="U71" s="85"/>
      <c r="V71" s="85"/>
      <c r="W71" s="85"/>
      <c r="X71" s="85"/>
    </row>
    <row r="72" spans="1:26" s="84" customFormat="1" ht="37.5" customHeight="1">
      <c r="B72" s="85" t="str">
        <f t="shared" si="1"/>
        <v>Sandglass contributes 6% of gross pay to an employee retirement program.  Employees do not contribute to this plan.</v>
      </c>
      <c r="C72" s="85"/>
      <c r="D72" s="85"/>
      <c r="E72" s="85"/>
      <c r="F72" s="85"/>
      <c r="G72" s="85"/>
      <c r="H72" s="85"/>
      <c r="I72" s="85"/>
      <c r="J72" s="85"/>
      <c r="P72" s="90" t="s">
        <v>73</v>
      </c>
      <c r="Q72" s="91"/>
      <c r="R72" s="91"/>
      <c r="S72" s="91"/>
      <c r="T72" s="91"/>
      <c r="U72" s="91"/>
      <c r="V72" s="91"/>
      <c r="W72" s="91"/>
      <c r="X72" s="91"/>
    </row>
    <row r="73" spans="1:26" s="84" customFormat="1" ht="37.5" customHeight="1">
      <c r="B73" s="85" t="str">
        <f t="shared" si="1"/>
        <v>Assume Alan participates in Sandglass group insurance plan.  The monthly premium of $200 is paid by the employee via a payroll withholding.</v>
      </c>
      <c r="C73" s="85"/>
      <c r="D73" s="85"/>
      <c r="E73" s="85"/>
      <c r="F73" s="85"/>
      <c r="G73" s="85"/>
      <c r="H73" s="85"/>
      <c r="I73" s="85"/>
      <c r="J73" s="85"/>
      <c r="P73" s="92" t="s">
        <v>85</v>
      </c>
      <c r="Q73" s="91"/>
      <c r="R73" s="91"/>
      <c r="S73" s="91"/>
      <c r="T73" s="91"/>
      <c r="U73" s="91"/>
      <c r="V73" s="91"/>
      <c r="W73" s="91"/>
      <c r="X73" s="91"/>
    </row>
    <row r="74" spans="1:26" s="42" customFormat="1" ht="60" customHeight="1">
      <c r="B74" s="83" t="s">
        <v>81</v>
      </c>
      <c r="C74" s="83"/>
      <c r="D74" s="83"/>
      <c r="E74" s="83"/>
      <c r="F74" s="83"/>
      <c r="G74" s="83"/>
      <c r="H74" s="83"/>
    </row>
    <row r="75" spans="1:26" ht="22.5" customHeight="1">
      <c r="B75" s="41" t="s">
        <v>5</v>
      </c>
      <c r="C75" s="41"/>
      <c r="D75" s="61" t="s">
        <v>6</v>
      </c>
      <c r="E75" s="62"/>
      <c r="F75" s="63"/>
      <c r="G75" s="41" t="s">
        <v>7</v>
      </c>
      <c r="H75" s="41" t="s">
        <v>8</v>
      </c>
      <c r="I75" s="41"/>
      <c r="P75" s="24" t="s">
        <v>5</v>
      </c>
      <c r="Q75" s="24"/>
      <c r="R75" s="57" t="s">
        <v>6</v>
      </c>
      <c r="S75" s="58"/>
      <c r="T75" s="59"/>
      <c r="U75" s="24" t="s">
        <v>7</v>
      </c>
      <c r="V75" s="24" t="s">
        <v>8</v>
      </c>
      <c r="W75" s="24"/>
      <c r="Y75" s="22" t="s">
        <v>72</v>
      </c>
    </row>
    <row r="76" spans="1:26" s="42" customFormat="1" ht="21" customHeight="1">
      <c r="B76" s="43" t="s">
        <v>53</v>
      </c>
      <c r="C76" s="44"/>
      <c r="D76" s="74"/>
      <c r="E76" s="74"/>
      <c r="F76" s="44"/>
      <c r="G76" s="51"/>
      <c r="H76" s="44"/>
      <c r="I76" s="44"/>
      <c r="M76" s="53" t="s">
        <v>71</v>
      </c>
      <c r="N76" s="42" t="str">
        <f>$R$82</f>
        <v>Cash</v>
      </c>
      <c r="P76" s="43" t="s">
        <v>53</v>
      </c>
      <c r="Q76" s="44"/>
      <c r="R76" s="45" t="s">
        <v>55</v>
      </c>
      <c r="S76" s="44"/>
      <c r="T76" s="44"/>
      <c r="U76" s="46">
        <v>20000</v>
      </c>
      <c r="V76" s="44"/>
      <c r="W76" s="44"/>
    </row>
    <row r="77" spans="1:26" s="42" customFormat="1" ht="21" customHeight="1">
      <c r="C77" s="44"/>
      <c r="D77" s="71"/>
      <c r="E77" s="71"/>
      <c r="F77" s="44"/>
      <c r="G77" s="46"/>
      <c r="H77" s="51"/>
      <c r="I77" s="44"/>
      <c r="M77" s="42" t="str">
        <f>IF(D77&lt;&gt;$R$76,IF(D77&lt;&gt;"",VLOOKUP(D77,$Y$76:$Z$82,2,FALSE),"N"),"n")</f>
        <v>N</v>
      </c>
      <c r="N77" s="42" t="str">
        <f>$R$88</f>
        <v>Employee Benefits Expense</v>
      </c>
      <c r="Q77" s="44"/>
      <c r="R77" s="45" t="s">
        <v>56</v>
      </c>
      <c r="S77" s="44"/>
      <c r="T77" s="44"/>
      <c r="U77" s="46"/>
      <c r="V77" s="46">
        <f>U76*0.35</f>
        <v>7000</v>
      </c>
      <c r="W77" s="44"/>
      <c r="Y77" s="42" t="str">
        <f>R77</f>
        <v>Federal Income Tax Payable</v>
      </c>
      <c r="Z77" s="79">
        <f>V77</f>
        <v>7000</v>
      </c>
    </row>
    <row r="78" spans="1:26" s="42" customFormat="1" ht="21" customHeight="1">
      <c r="C78" s="44"/>
      <c r="D78" s="71"/>
      <c r="E78" s="71"/>
      <c r="F78" s="44"/>
      <c r="G78" s="46"/>
      <c r="H78" s="51"/>
      <c r="I78" s="44"/>
      <c r="M78" s="42" t="str">
        <f t="shared" ref="M78:M82" si="2">IF(D78&lt;&gt;$R$76,IF(D78&lt;&gt;"",VLOOKUP(D78,$Y$76:$Z$82,2,FALSE),"N"),"n")</f>
        <v>N</v>
      </c>
      <c r="N78" s="42" t="str">
        <f>$R$77</f>
        <v>Federal Income Tax Payable</v>
      </c>
      <c r="Q78" s="44"/>
      <c r="R78" s="45" t="s">
        <v>57</v>
      </c>
      <c r="S78" s="44"/>
      <c r="T78" s="44"/>
      <c r="U78" s="46"/>
      <c r="V78" s="46">
        <f>V77*0.1</f>
        <v>700</v>
      </c>
      <c r="W78" s="44"/>
      <c r="Y78" s="42" t="str">
        <f t="shared" ref="Y78:Y82" si="3">R78</f>
        <v>State Income Tax Payable</v>
      </c>
      <c r="Z78" s="79">
        <f t="shared" ref="Z78:Z82" si="4">V78</f>
        <v>700</v>
      </c>
    </row>
    <row r="79" spans="1:26" s="42" customFormat="1" ht="21" customHeight="1">
      <c r="C79" s="44"/>
      <c r="D79" s="71"/>
      <c r="E79" s="71"/>
      <c r="F79" s="44"/>
      <c r="G79" s="46"/>
      <c r="H79" s="51"/>
      <c r="I79" s="44"/>
      <c r="M79" s="42" t="str">
        <f t="shared" si="2"/>
        <v>N</v>
      </c>
      <c r="N79" s="42" t="str">
        <f>$R$91</f>
        <v>FUTA Payable</v>
      </c>
      <c r="Q79" s="44"/>
      <c r="R79" s="45" t="s">
        <v>58</v>
      </c>
      <c r="S79" s="44"/>
      <c r="T79" s="44"/>
      <c r="U79" s="46"/>
      <c r="V79" s="46">
        <f>U76*0.065</f>
        <v>1300</v>
      </c>
      <c r="W79" s="44"/>
      <c r="Y79" s="42" t="str">
        <f t="shared" si="3"/>
        <v>Social Security Tax Payable</v>
      </c>
      <c r="Z79" s="79">
        <f t="shared" si="4"/>
        <v>1300</v>
      </c>
    </row>
    <row r="80" spans="1:26" s="42" customFormat="1" ht="21" customHeight="1">
      <c r="C80" s="44"/>
      <c r="D80" s="71"/>
      <c r="E80" s="71"/>
      <c r="F80" s="44"/>
      <c r="G80" s="46"/>
      <c r="H80" s="51"/>
      <c r="I80" s="44"/>
      <c r="M80" s="42" t="str">
        <f t="shared" si="2"/>
        <v>N</v>
      </c>
      <c r="N80" s="42" t="str">
        <f>$R$81</f>
        <v>Insurance Payable</v>
      </c>
      <c r="Q80" s="44"/>
      <c r="R80" s="45" t="s">
        <v>59</v>
      </c>
      <c r="S80" s="44"/>
      <c r="T80" s="44"/>
      <c r="U80" s="46"/>
      <c r="V80" s="46">
        <f>U76*0.015</f>
        <v>300</v>
      </c>
      <c r="W80" s="44"/>
      <c r="Y80" s="42" t="str">
        <f t="shared" si="3"/>
        <v>Medicare/Medicaid Tax Payable</v>
      </c>
      <c r="Z80" s="79">
        <f t="shared" si="4"/>
        <v>300</v>
      </c>
    </row>
    <row r="81" spans="2:26" s="42" customFormat="1" ht="21" customHeight="1">
      <c r="C81" s="44"/>
      <c r="D81" s="71"/>
      <c r="E81" s="71"/>
      <c r="F81" s="44"/>
      <c r="G81" s="81"/>
      <c r="H81" s="51"/>
      <c r="I81" s="44"/>
      <c r="M81" s="42" t="str">
        <f t="shared" si="2"/>
        <v>N</v>
      </c>
      <c r="N81" s="42" t="str">
        <f>$R$80</f>
        <v>Medicare/Medicaid Tax Payable</v>
      </c>
      <c r="Q81" s="44"/>
      <c r="R81" s="45" t="s">
        <v>60</v>
      </c>
      <c r="S81" s="44"/>
      <c r="T81" s="44"/>
      <c r="U81" s="81"/>
      <c r="V81" s="46">
        <v>200</v>
      </c>
      <c r="W81" s="44"/>
      <c r="Y81" s="42" t="str">
        <f t="shared" si="3"/>
        <v>Insurance Payable</v>
      </c>
      <c r="Z81" s="79">
        <f t="shared" si="4"/>
        <v>200</v>
      </c>
    </row>
    <row r="82" spans="2:26" s="42" customFormat="1" ht="21" customHeight="1">
      <c r="C82" s="44"/>
      <c r="D82" s="71"/>
      <c r="E82" s="71"/>
      <c r="F82" s="44"/>
      <c r="G82" s="44"/>
      <c r="H82" s="51"/>
      <c r="I82" s="44"/>
      <c r="M82" s="42" t="str">
        <f t="shared" si="2"/>
        <v>N</v>
      </c>
      <c r="N82" s="42" t="str">
        <f>$R$87</f>
        <v>Payroll Tax Expense</v>
      </c>
      <c r="Q82" s="44"/>
      <c r="R82" s="45" t="s">
        <v>24</v>
      </c>
      <c r="S82" s="44"/>
      <c r="T82" s="44"/>
      <c r="U82" s="44"/>
      <c r="V82" s="46">
        <f>U76-SUM(V77:V81)</f>
        <v>10500</v>
      </c>
      <c r="W82" s="44"/>
      <c r="Y82" s="42" t="str">
        <f t="shared" si="3"/>
        <v>Cash</v>
      </c>
      <c r="Z82" s="79">
        <f t="shared" si="4"/>
        <v>10500</v>
      </c>
    </row>
    <row r="83" spans="2:26" ht="13.5" thickBot="1">
      <c r="C83" s="2"/>
      <c r="D83" s="2"/>
      <c r="E83" s="2"/>
      <c r="F83" s="2"/>
      <c r="G83" s="2"/>
      <c r="H83" s="2"/>
      <c r="I83" s="2"/>
      <c r="N83" s="3" t="str">
        <f>$R$94</f>
        <v>Retirement Contribution Payable</v>
      </c>
      <c r="Q83" s="2"/>
      <c r="R83" s="2"/>
      <c r="S83" s="2"/>
      <c r="T83" s="2"/>
      <c r="U83" s="2"/>
      <c r="V83" s="2"/>
      <c r="W83" s="2"/>
    </row>
    <row r="84" spans="2:26" ht="13.5" thickBot="1">
      <c r="C84" s="54" t="s">
        <v>54</v>
      </c>
      <c r="D84" s="55"/>
      <c r="E84" s="55"/>
      <c r="F84" s="55"/>
      <c r="G84" s="55"/>
      <c r="H84" s="56"/>
      <c r="I84" s="4"/>
      <c r="N84" s="3" t="str">
        <f>$R$76</f>
        <v>Salaries Expense</v>
      </c>
      <c r="Q84" s="54" t="s">
        <v>54</v>
      </c>
      <c r="R84" s="55"/>
      <c r="S84" s="55"/>
      <c r="T84" s="55"/>
      <c r="U84" s="55"/>
      <c r="V84" s="56"/>
      <c r="W84" s="4"/>
    </row>
    <row r="85" spans="2:26">
      <c r="N85" s="3" t="str">
        <f>$R$79</f>
        <v>Social Security Tax Payable</v>
      </c>
    </row>
    <row r="86" spans="2:26" ht="22.5" customHeight="1">
      <c r="B86" s="41" t="s">
        <v>5</v>
      </c>
      <c r="C86" s="41"/>
      <c r="D86" s="61" t="s">
        <v>6</v>
      </c>
      <c r="E86" s="62"/>
      <c r="F86" s="63"/>
      <c r="G86" s="41" t="s">
        <v>7</v>
      </c>
      <c r="H86" s="41" t="s">
        <v>8</v>
      </c>
      <c r="I86" s="41"/>
      <c r="N86" s="3" t="str">
        <f>$R$78</f>
        <v>State Income Tax Payable</v>
      </c>
      <c r="P86" s="24" t="s">
        <v>5</v>
      </c>
      <c r="Q86" s="24"/>
      <c r="R86" s="57" t="s">
        <v>6</v>
      </c>
      <c r="S86" s="58"/>
      <c r="T86" s="59"/>
      <c r="U86" s="24" t="s">
        <v>7</v>
      </c>
      <c r="V86" s="24" t="s">
        <v>8</v>
      </c>
      <c r="W86" s="24"/>
      <c r="Y86" s="22" t="s">
        <v>72</v>
      </c>
    </row>
    <row r="87" spans="2:26" s="42" customFormat="1" ht="21" customHeight="1">
      <c r="B87" s="43" t="s">
        <v>53</v>
      </c>
      <c r="C87" s="44"/>
      <c r="D87" s="74"/>
      <c r="E87" s="74"/>
      <c r="F87" s="44"/>
      <c r="G87" s="51"/>
      <c r="H87" s="44"/>
      <c r="I87" s="44"/>
      <c r="M87" s="42" t="str">
        <f>IF(D87&lt;&gt;"",VLOOKUP(D87,$Y$87:$Z$94,2,FALSE),"N")</f>
        <v>N</v>
      </c>
      <c r="N87" s="42" t="str">
        <f>$R$92</f>
        <v>SUTA Payable</v>
      </c>
      <c r="P87" s="43" t="s">
        <v>53</v>
      </c>
      <c r="Q87" s="44"/>
      <c r="R87" s="45" t="s">
        <v>62</v>
      </c>
      <c r="S87" s="44"/>
      <c r="T87" s="44"/>
      <c r="U87" s="46">
        <f>V89+V90+V91+V92</f>
        <v>1840</v>
      </c>
      <c r="V87" s="44"/>
      <c r="W87" s="44"/>
      <c r="Y87" s="42" t="str">
        <f>R87</f>
        <v>Payroll Tax Expense</v>
      </c>
      <c r="Z87" s="79">
        <f>U87</f>
        <v>1840</v>
      </c>
    </row>
    <row r="88" spans="2:26" s="42" customFormat="1" ht="21" customHeight="1">
      <c r="C88" s="44"/>
      <c r="D88" s="74"/>
      <c r="E88" s="74"/>
      <c r="F88" s="44"/>
      <c r="G88" s="51"/>
      <c r="H88" s="46"/>
      <c r="I88" s="44"/>
      <c r="M88" s="42" t="str">
        <f>IF(D88&lt;&gt;"",VLOOKUP(D88,$Y$87:$Z$94,2,FALSE),"N")</f>
        <v>N</v>
      </c>
      <c r="N88" s="42" t="str">
        <f>$R$93</f>
        <v>Workers Compensation Insurance Payable</v>
      </c>
      <c r="Q88" s="44"/>
      <c r="R88" s="45" t="s">
        <v>63</v>
      </c>
      <c r="S88" s="44"/>
      <c r="T88" s="44"/>
      <c r="U88" s="46">
        <f>V93+V94</f>
        <v>1600</v>
      </c>
      <c r="V88" s="46"/>
      <c r="W88" s="44"/>
      <c r="Y88" s="42" t="str">
        <f>R88</f>
        <v>Employee Benefits Expense</v>
      </c>
      <c r="Z88" s="79">
        <f>U88</f>
        <v>1600</v>
      </c>
    </row>
    <row r="89" spans="2:26" s="42" customFormat="1" ht="21" customHeight="1">
      <c r="C89" s="44"/>
      <c r="D89" s="71"/>
      <c r="E89" s="71"/>
      <c r="F89" s="44"/>
      <c r="G89" s="46"/>
      <c r="H89" s="51"/>
      <c r="I89" s="44"/>
      <c r="M89" s="42" t="str">
        <f t="shared" ref="M89:M94" si="5">IF(D89&lt;&gt;"",VLOOKUP(D89,$Y$87:$Z$94,2,FALSE),"N")</f>
        <v>N</v>
      </c>
      <c r="Q89" s="44"/>
      <c r="R89" s="45" t="s">
        <v>58</v>
      </c>
      <c r="S89" s="44"/>
      <c r="T89" s="44"/>
      <c r="U89" s="46"/>
      <c r="V89" s="46">
        <f>V79</f>
        <v>1300</v>
      </c>
      <c r="W89" s="44"/>
      <c r="Y89" s="42" t="str">
        <f t="shared" ref="Y89:Y93" si="6">R89</f>
        <v>Social Security Tax Payable</v>
      </c>
      <c r="Z89" s="79">
        <f t="shared" ref="Z89:Z93" si="7">V89</f>
        <v>1300</v>
      </c>
    </row>
    <row r="90" spans="2:26" s="42" customFormat="1" ht="21" customHeight="1">
      <c r="C90" s="44"/>
      <c r="D90" s="71"/>
      <c r="E90" s="71"/>
      <c r="F90" s="44"/>
      <c r="G90" s="46"/>
      <c r="H90" s="51"/>
      <c r="I90" s="44"/>
      <c r="M90" s="42" t="str">
        <f t="shared" si="5"/>
        <v>N</v>
      </c>
      <c r="N90" s="48">
        <f>$V$91</f>
        <v>60</v>
      </c>
      <c r="Q90" s="44"/>
      <c r="R90" s="45" t="s">
        <v>59</v>
      </c>
      <c r="S90" s="44"/>
      <c r="T90" s="44"/>
      <c r="U90" s="46"/>
      <c r="V90" s="46">
        <f>V80</f>
        <v>300</v>
      </c>
      <c r="W90" s="44"/>
      <c r="Y90" s="42" t="str">
        <f t="shared" si="6"/>
        <v>Medicare/Medicaid Tax Payable</v>
      </c>
      <c r="Z90" s="79">
        <f t="shared" si="7"/>
        <v>300</v>
      </c>
    </row>
    <row r="91" spans="2:26" s="42" customFormat="1" ht="21" customHeight="1">
      <c r="C91" s="44"/>
      <c r="D91" s="71"/>
      <c r="E91" s="71"/>
      <c r="F91" s="44"/>
      <c r="G91" s="46"/>
      <c r="H91" s="51"/>
      <c r="I91" s="44"/>
      <c r="M91" s="42" t="str">
        <f t="shared" si="5"/>
        <v>N</v>
      </c>
      <c r="N91" s="48">
        <f>$V$92</f>
        <v>180</v>
      </c>
      <c r="Q91" s="44"/>
      <c r="R91" s="45" t="s">
        <v>65</v>
      </c>
      <c r="S91" s="44"/>
      <c r="T91" s="44"/>
      <c r="U91" s="46"/>
      <c r="V91" s="46">
        <f>0.005*12000</f>
        <v>60</v>
      </c>
      <c r="W91" s="44"/>
      <c r="Y91" s="42" t="str">
        <f t="shared" si="6"/>
        <v>FUTA Payable</v>
      </c>
      <c r="Z91" s="79">
        <f t="shared" si="7"/>
        <v>60</v>
      </c>
    </row>
    <row r="92" spans="2:26" s="42" customFormat="1" ht="21" customHeight="1">
      <c r="C92" s="44"/>
      <c r="D92" s="71"/>
      <c r="E92" s="71"/>
      <c r="F92" s="44"/>
      <c r="G92" s="81"/>
      <c r="H92" s="51"/>
      <c r="I92" s="44"/>
      <c r="M92" s="42" t="str">
        <f t="shared" si="5"/>
        <v>N</v>
      </c>
      <c r="N92" s="48">
        <f>$V$81</f>
        <v>200</v>
      </c>
      <c r="Q92" s="44"/>
      <c r="R92" s="45" t="s">
        <v>66</v>
      </c>
      <c r="S92" s="44"/>
      <c r="T92" s="44"/>
      <c r="U92" s="81"/>
      <c r="V92" s="46">
        <f>0.015*12000</f>
        <v>180</v>
      </c>
      <c r="W92" s="44"/>
      <c r="Y92" s="42" t="str">
        <f t="shared" si="6"/>
        <v>SUTA Payable</v>
      </c>
      <c r="Z92" s="79">
        <f t="shared" si="7"/>
        <v>180</v>
      </c>
    </row>
    <row r="93" spans="2:26" s="42" customFormat="1" ht="21" customHeight="1">
      <c r="C93" s="44"/>
      <c r="D93" s="71"/>
      <c r="E93" s="71"/>
      <c r="F93" s="44"/>
      <c r="G93" s="81"/>
      <c r="H93" s="51"/>
      <c r="I93" s="44"/>
      <c r="M93" s="42" t="str">
        <f t="shared" si="5"/>
        <v>N</v>
      </c>
      <c r="N93" s="48">
        <f>$V$80</f>
        <v>300</v>
      </c>
      <c r="Q93" s="44"/>
      <c r="R93" s="45" t="s">
        <v>67</v>
      </c>
      <c r="S93" s="44"/>
      <c r="T93" s="44"/>
      <c r="U93" s="81"/>
      <c r="V93" s="46">
        <f>0.02*U76</f>
        <v>400</v>
      </c>
      <c r="W93" s="44"/>
      <c r="Y93" s="42" t="str">
        <f t="shared" si="6"/>
        <v>Workers Compensation Insurance Payable</v>
      </c>
      <c r="Z93" s="79">
        <f t="shared" si="7"/>
        <v>400</v>
      </c>
    </row>
    <row r="94" spans="2:26" s="42" customFormat="1" ht="21" customHeight="1">
      <c r="C94" s="44"/>
      <c r="D94" s="71"/>
      <c r="E94" s="71"/>
      <c r="F94" s="44"/>
      <c r="G94" s="44"/>
      <c r="H94" s="51"/>
      <c r="I94" s="44"/>
      <c r="M94" s="42" t="str">
        <f t="shared" si="5"/>
        <v>N</v>
      </c>
      <c r="N94" s="48">
        <f>$V$93</f>
        <v>400</v>
      </c>
      <c r="Q94" s="44"/>
      <c r="R94" s="45" t="s">
        <v>68</v>
      </c>
      <c r="S94" s="44"/>
      <c r="T94" s="44"/>
      <c r="U94" s="44"/>
      <c r="V94" s="46">
        <f>U76*0.06</f>
        <v>1200</v>
      </c>
      <c r="W94" s="44"/>
      <c r="Y94" s="42" t="str">
        <f t="shared" ref="Y94" si="8">R94</f>
        <v>Retirement Contribution Payable</v>
      </c>
      <c r="Z94" s="79">
        <f t="shared" ref="Z94" si="9">V94</f>
        <v>1200</v>
      </c>
    </row>
    <row r="95" spans="2:26" ht="13.5" thickBot="1">
      <c r="C95" s="2"/>
      <c r="D95" s="2"/>
      <c r="E95" s="2"/>
      <c r="F95" s="2"/>
      <c r="G95" s="2"/>
      <c r="H95" s="2"/>
      <c r="I95" s="2"/>
      <c r="N95" s="26">
        <f>$V$78</f>
        <v>700</v>
      </c>
      <c r="Q95" s="2"/>
      <c r="R95" s="2"/>
      <c r="S95" s="2"/>
      <c r="T95" s="2"/>
      <c r="U95" s="2"/>
      <c r="V95" s="2"/>
      <c r="W95" s="2"/>
    </row>
    <row r="96" spans="2:26" ht="13.5" thickBot="1">
      <c r="C96" s="54" t="s">
        <v>64</v>
      </c>
      <c r="D96" s="55"/>
      <c r="E96" s="55"/>
      <c r="F96" s="55"/>
      <c r="G96" s="55"/>
      <c r="H96" s="56"/>
      <c r="I96" s="4"/>
      <c r="N96" s="26">
        <f>$V$94</f>
        <v>1200</v>
      </c>
      <c r="Q96" s="54" t="s">
        <v>64</v>
      </c>
      <c r="R96" s="55"/>
      <c r="S96" s="55"/>
      <c r="T96" s="55"/>
      <c r="U96" s="55"/>
      <c r="V96" s="56"/>
      <c r="W96" s="4"/>
    </row>
    <row r="97" spans="14:14">
      <c r="N97" s="26">
        <f>$V$79</f>
        <v>1300</v>
      </c>
    </row>
    <row r="98" spans="14:14">
      <c r="N98" s="26">
        <f>$U$87</f>
        <v>1840</v>
      </c>
    </row>
    <row r="99" spans="14:14" hidden="1">
      <c r="N99" s="26">
        <f>$U$88</f>
        <v>1600</v>
      </c>
    </row>
    <row r="100" spans="14:14" hidden="1">
      <c r="N100" s="26">
        <f>$V$77</f>
        <v>7000</v>
      </c>
    </row>
    <row r="101" spans="14:14" hidden="1">
      <c r="N101" s="26">
        <f>$V$82</f>
        <v>10500</v>
      </c>
    </row>
    <row r="102" spans="14:14" hidden="1">
      <c r="N102" s="26">
        <f>$U$76</f>
        <v>20000</v>
      </c>
    </row>
  </sheetData>
  <sheetProtection algorithmName="SHA-512" hashValue="z0g1I/5bwByZYIlYLVTAvInI9WpM0hnYox90ZBUFkSiFTMbpjEU8nRTQfHtHNhAfkVscbB7J37QqlgWLHJiFJA==" saltValue="qcu3yThqMXiDMLDUn394Cw==" spinCount="100000" sheet="1" objects="1" scenarios="1"/>
  <sortState ref="N90:N102">
    <sortCondition ref="N90"/>
  </sortState>
  <mergeCells count="105">
    <mergeCell ref="P68:X68"/>
    <mergeCell ref="P69:X69"/>
    <mergeCell ref="R43:T43"/>
    <mergeCell ref="B1:J1"/>
    <mergeCell ref="Q35:V35"/>
    <mergeCell ref="Q9:V10"/>
    <mergeCell ref="Q11:R11"/>
    <mergeCell ref="Q12:R12"/>
    <mergeCell ref="P37:T37"/>
    <mergeCell ref="P39:X39"/>
    <mergeCell ref="R17:T17"/>
    <mergeCell ref="Q21:V21"/>
    <mergeCell ref="P23:X23"/>
    <mergeCell ref="R25:T25"/>
    <mergeCell ref="Q29:V29"/>
    <mergeCell ref="R31:T31"/>
    <mergeCell ref="D31:F31"/>
    <mergeCell ref="C35:H35"/>
    <mergeCell ref="B37:F37"/>
    <mergeCell ref="B39:J39"/>
    <mergeCell ref="P3:X3"/>
    <mergeCell ref="Q7:R7"/>
    <mergeCell ref="Q4:V5"/>
    <mergeCell ref="C96:H96"/>
    <mergeCell ref="D18:E18"/>
    <mergeCell ref="D19:E19"/>
    <mergeCell ref="D26:E26"/>
    <mergeCell ref="D27:E27"/>
    <mergeCell ref="D32:E32"/>
    <mergeCell ref="Q47:V47"/>
    <mergeCell ref="R49:T49"/>
    <mergeCell ref="Q53:V53"/>
    <mergeCell ref="R55:T55"/>
    <mergeCell ref="Q61:V61"/>
    <mergeCell ref="B41:J41"/>
    <mergeCell ref="D43:F43"/>
    <mergeCell ref="C53:H53"/>
    <mergeCell ref="D55:F55"/>
    <mergeCell ref="C61:H61"/>
    <mergeCell ref="B63:J63"/>
    <mergeCell ref="B65:J65"/>
    <mergeCell ref="D59:E59"/>
    <mergeCell ref="Q96:V96"/>
    <mergeCell ref="P71:X71"/>
    <mergeCell ref="P41:X41"/>
    <mergeCell ref="P67:X67"/>
    <mergeCell ref="R75:T75"/>
    <mergeCell ref="B3:J3"/>
    <mergeCell ref="C4:H5"/>
    <mergeCell ref="C6:D6"/>
    <mergeCell ref="C7:D7"/>
    <mergeCell ref="C9:H10"/>
    <mergeCell ref="C11:D11"/>
    <mergeCell ref="C12:D12"/>
    <mergeCell ref="B15:J15"/>
    <mergeCell ref="P70:X70"/>
    <mergeCell ref="D33:E33"/>
    <mergeCell ref="D44:E44"/>
    <mergeCell ref="D50:E50"/>
    <mergeCell ref="D56:E56"/>
    <mergeCell ref="D57:E57"/>
    <mergeCell ref="D58:E58"/>
    <mergeCell ref="D45:E45"/>
    <mergeCell ref="D51:E51"/>
    <mergeCell ref="C47:H47"/>
    <mergeCell ref="D49:F49"/>
    <mergeCell ref="D17:F17"/>
    <mergeCell ref="C21:H21"/>
    <mergeCell ref="P15:X15"/>
    <mergeCell ref="Q6:R6"/>
    <mergeCell ref="B23:J23"/>
    <mergeCell ref="D25:F25"/>
    <mergeCell ref="C29:H29"/>
    <mergeCell ref="Q84:V84"/>
    <mergeCell ref="R86:T86"/>
    <mergeCell ref="P63:X63"/>
    <mergeCell ref="P65:X65"/>
    <mergeCell ref="D76:E76"/>
    <mergeCell ref="D77:E77"/>
    <mergeCell ref="D78:E78"/>
    <mergeCell ref="D79:E79"/>
    <mergeCell ref="D80:E80"/>
    <mergeCell ref="D81:E81"/>
    <mergeCell ref="B73:J73"/>
    <mergeCell ref="D75:F75"/>
    <mergeCell ref="B67:J67"/>
    <mergeCell ref="B68:J68"/>
    <mergeCell ref="B69:J69"/>
    <mergeCell ref="B70:J70"/>
    <mergeCell ref="B71:J71"/>
    <mergeCell ref="B72:J72"/>
    <mergeCell ref="B74:H74"/>
    <mergeCell ref="P72:X72"/>
    <mergeCell ref="P73:X73"/>
    <mergeCell ref="D92:E92"/>
    <mergeCell ref="D93:E93"/>
    <mergeCell ref="D94:E94"/>
    <mergeCell ref="D82:E82"/>
    <mergeCell ref="D87:E87"/>
    <mergeCell ref="D88:E88"/>
    <mergeCell ref="D89:E89"/>
    <mergeCell ref="D90:E90"/>
    <mergeCell ref="D91:E91"/>
    <mergeCell ref="C84:H84"/>
    <mergeCell ref="D86:F86"/>
  </mergeCells>
  <conditionalFormatting sqref="D18:E18">
    <cfRule type="cellIs" dxfId="58" priority="59" operator="notEqual">
      <formula>$R$18</formula>
    </cfRule>
  </conditionalFormatting>
  <conditionalFormatting sqref="D19:E19">
    <cfRule type="cellIs" dxfId="57" priority="58" operator="notEqual">
      <formula>$R$19</formula>
    </cfRule>
  </conditionalFormatting>
  <conditionalFormatting sqref="G18">
    <cfRule type="cellIs" dxfId="56" priority="57" operator="notEqual">
      <formula>$U$18</formula>
    </cfRule>
  </conditionalFormatting>
  <conditionalFormatting sqref="H19">
    <cfRule type="cellIs" dxfId="55" priority="56" operator="notEqual">
      <formula>$V$19</formula>
    </cfRule>
  </conditionalFormatting>
  <conditionalFormatting sqref="D26:E26">
    <cfRule type="cellIs" dxfId="54" priority="55" operator="notEqual">
      <formula>$R$26</formula>
    </cfRule>
  </conditionalFormatting>
  <conditionalFormatting sqref="D27:E27">
    <cfRule type="cellIs" dxfId="53" priority="54" operator="notEqual">
      <formula>$R$27</formula>
    </cfRule>
  </conditionalFormatting>
  <conditionalFormatting sqref="G26">
    <cfRule type="cellIs" dxfId="52" priority="53" operator="notEqual">
      <formula>$U$26</formula>
    </cfRule>
  </conditionalFormatting>
  <conditionalFormatting sqref="H27">
    <cfRule type="cellIs" dxfId="51" priority="52" operator="notEqual">
      <formula>$V$27</formula>
    </cfRule>
  </conditionalFormatting>
  <conditionalFormatting sqref="D32:E32">
    <cfRule type="cellIs" dxfId="50" priority="51" operator="notEqual">
      <formula>$R$32</formula>
    </cfRule>
  </conditionalFormatting>
  <conditionalFormatting sqref="D33:E33">
    <cfRule type="cellIs" dxfId="49" priority="50" operator="notEqual">
      <formula>$R$33</formula>
    </cfRule>
  </conditionalFormatting>
  <conditionalFormatting sqref="G32">
    <cfRule type="cellIs" dxfId="48" priority="49" operator="notEqual">
      <formula>$U$32</formula>
    </cfRule>
  </conditionalFormatting>
  <conditionalFormatting sqref="H33">
    <cfRule type="cellIs" dxfId="47" priority="48" operator="notEqual">
      <formula>$V$33</formula>
    </cfRule>
  </conditionalFormatting>
  <conditionalFormatting sqref="H37">
    <cfRule type="cellIs" dxfId="46" priority="47" operator="notEqual">
      <formula>$V$37</formula>
    </cfRule>
  </conditionalFormatting>
  <conditionalFormatting sqref="D44:E44">
    <cfRule type="cellIs" dxfId="45" priority="46" operator="notEqual">
      <formula>$R$44</formula>
    </cfRule>
  </conditionalFormatting>
  <conditionalFormatting sqref="D45:E45">
    <cfRule type="cellIs" dxfId="44" priority="45" operator="notEqual">
      <formula>$R$45</formula>
    </cfRule>
  </conditionalFormatting>
  <conditionalFormatting sqref="G44">
    <cfRule type="cellIs" dxfId="43" priority="44" operator="notEqual">
      <formula>$U$44</formula>
    </cfRule>
  </conditionalFormatting>
  <conditionalFormatting sqref="H45">
    <cfRule type="cellIs" dxfId="42" priority="43" operator="notEqual">
      <formula>$V$45</formula>
    </cfRule>
  </conditionalFormatting>
  <conditionalFormatting sqref="D50:E50">
    <cfRule type="cellIs" dxfId="41" priority="42" operator="notEqual">
      <formula>$R$50</formula>
    </cfRule>
  </conditionalFormatting>
  <conditionalFormatting sqref="D51:E51">
    <cfRule type="cellIs" dxfId="40" priority="41" operator="notEqual">
      <formula>$R$51</formula>
    </cfRule>
  </conditionalFormatting>
  <conditionalFormatting sqref="G50">
    <cfRule type="cellIs" dxfId="39" priority="40" operator="notEqual">
      <formula>$U$50</formula>
    </cfRule>
  </conditionalFormatting>
  <conditionalFormatting sqref="H51">
    <cfRule type="cellIs" dxfId="38" priority="39" operator="notEqual">
      <formula>$V$51</formula>
    </cfRule>
  </conditionalFormatting>
  <conditionalFormatting sqref="D59:E59">
    <cfRule type="cellIs" dxfId="37" priority="38" operator="notEqual">
      <formula>$R$59</formula>
    </cfRule>
  </conditionalFormatting>
  <conditionalFormatting sqref="H59">
    <cfRule type="cellIs" dxfId="36" priority="37" operator="notEqual">
      <formula>$V$59</formula>
    </cfRule>
  </conditionalFormatting>
  <conditionalFormatting sqref="D56:E56">
    <cfRule type="expression" dxfId="35" priority="36">
      <formula>NOT(OR(D56=$R$56,D56=$R$57,D56=$R$58))</formula>
    </cfRule>
  </conditionalFormatting>
  <conditionalFormatting sqref="D57:E57">
    <cfRule type="expression" dxfId="34" priority="35">
      <formula>NOT(OR(D57=$R$56,D57=$R$57,D57=$R$58))</formula>
    </cfRule>
  </conditionalFormatting>
  <conditionalFormatting sqref="D58:E58">
    <cfRule type="expression" dxfId="33" priority="34">
      <formula>NOT(OR(D58=$R$56,D58=$R$57,D58=$R$58))</formula>
    </cfRule>
  </conditionalFormatting>
  <conditionalFormatting sqref="G56">
    <cfRule type="cellIs" dxfId="32" priority="33" operator="notEqual">
      <formula>$N$56</formula>
    </cfRule>
  </conditionalFormatting>
  <conditionalFormatting sqref="G57">
    <cfRule type="cellIs" dxfId="31" priority="32" operator="notEqual">
      <formula>$N$57</formula>
    </cfRule>
  </conditionalFormatting>
  <conditionalFormatting sqref="G58">
    <cfRule type="cellIs" dxfId="30" priority="31" operator="notEqual">
      <formula>$N$58</formula>
    </cfRule>
  </conditionalFormatting>
  <conditionalFormatting sqref="D76:E76">
    <cfRule type="cellIs" dxfId="29" priority="30" operator="notEqual">
      <formula>$R$76</formula>
    </cfRule>
  </conditionalFormatting>
  <conditionalFormatting sqref="G76">
    <cfRule type="cellIs" dxfId="28" priority="29" operator="notEqual">
      <formula>$U$76</formula>
    </cfRule>
  </conditionalFormatting>
  <conditionalFormatting sqref="H77">
    <cfRule type="cellIs" dxfId="27" priority="28" operator="notEqual">
      <formula>$M$77</formula>
    </cfRule>
  </conditionalFormatting>
  <conditionalFormatting sqref="H78">
    <cfRule type="cellIs" dxfId="26" priority="27" operator="notEqual">
      <formula>$M$78</formula>
    </cfRule>
  </conditionalFormatting>
  <conditionalFormatting sqref="H79">
    <cfRule type="cellIs" dxfId="25" priority="26" operator="notEqual">
      <formula>$M$79</formula>
    </cfRule>
  </conditionalFormatting>
  <conditionalFormatting sqref="H80">
    <cfRule type="cellIs" dxfId="24" priority="25" operator="notEqual">
      <formula>$M$80</formula>
    </cfRule>
  </conditionalFormatting>
  <conditionalFormatting sqref="H81">
    <cfRule type="cellIs" dxfId="23" priority="24" operator="notEqual">
      <formula>$M$81</formula>
    </cfRule>
  </conditionalFormatting>
  <conditionalFormatting sqref="H82">
    <cfRule type="cellIs" dxfId="22" priority="23" operator="notEqual">
      <formula>$M$82</formula>
    </cfRule>
  </conditionalFormatting>
  <conditionalFormatting sqref="G87">
    <cfRule type="cellIs" dxfId="21" priority="22" operator="notEqual">
      <formula>$M$87</formula>
    </cfRule>
  </conditionalFormatting>
  <conditionalFormatting sqref="G88">
    <cfRule type="cellIs" dxfId="20" priority="21" operator="notEqual">
      <formula>$M$88</formula>
    </cfRule>
  </conditionalFormatting>
  <conditionalFormatting sqref="H89">
    <cfRule type="cellIs" dxfId="19" priority="20" operator="notEqual">
      <formula>$M$89</formula>
    </cfRule>
  </conditionalFormatting>
  <conditionalFormatting sqref="H90">
    <cfRule type="cellIs" dxfId="18" priority="19" operator="notEqual">
      <formula>$M$90</formula>
    </cfRule>
  </conditionalFormatting>
  <conditionalFormatting sqref="H91">
    <cfRule type="cellIs" dxfId="17" priority="18" operator="notEqual">
      <formula>$M$91</formula>
    </cfRule>
  </conditionalFormatting>
  <conditionalFormatting sqref="H92">
    <cfRule type="cellIs" dxfId="16" priority="17" operator="notEqual">
      <formula>$M$92</formula>
    </cfRule>
  </conditionalFormatting>
  <conditionalFormatting sqref="H93">
    <cfRule type="cellIs" dxfId="15" priority="16" operator="notEqual">
      <formula>$M$93</formula>
    </cfRule>
  </conditionalFormatting>
  <conditionalFormatting sqref="H94">
    <cfRule type="cellIs" dxfId="14" priority="15" operator="notEqual">
      <formula>$M$94</formula>
    </cfRule>
  </conditionalFormatting>
  <conditionalFormatting sqref="D77:E77">
    <cfRule type="expression" dxfId="13" priority="14">
      <formula>NOT(OR(D77=$R$77,D77=$R$78,D77=$R$79,D77=$R$80,D77=$R$81,D77=$R$82))</formula>
    </cfRule>
  </conditionalFormatting>
  <conditionalFormatting sqref="D78:E78">
    <cfRule type="expression" dxfId="12" priority="13">
      <formula>NOT(OR(D78=$R$77,D78=$R$78,D78=$R$79,D78=$R$80,D78=$R$81,D78=$R$82))</formula>
    </cfRule>
  </conditionalFormatting>
  <conditionalFormatting sqref="D79:E79">
    <cfRule type="expression" dxfId="11" priority="12">
      <formula>NOT(OR(D79=$R$77,D79=$R$78,D79=$R$79,D79=$R$80,D79=$R$81,D79=$R$82))</formula>
    </cfRule>
  </conditionalFormatting>
  <conditionalFormatting sqref="D80:E80">
    <cfRule type="expression" dxfId="10" priority="11">
      <formula>NOT(OR(D80=$R$77,D80=$R$78,D80=$R$79,D80=$R$80,D80=$R$81,D80=$R$82))</formula>
    </cfRule>
  </conditionalFormatting>
  <conditionalFormatting sqref="D81:E81">
    <cfRule type="expression" dxfId="9" priority="10">
      <formula>NOT(OR(D81=$R$77,D81=$R$78,D81=$R$79,D81=$R$80,D81=$R$81,D81=$R$82))</formula>
    </cfRule>
  </conditionalFormatting>
  <conditionalFormatting sqref="D82:E82">
    <cfRule type="expression" dxfId="8" priority="9">
      <formula>NOT(OR(D82=$R$77,D82=$R$78,D82=$R$79,D82=$R$80,D82=$R$81,D82=$R$82))</formula>
    </cfRule>
  </conditionalFormatting>
  <conditionalFormatting sqref="D87:E87">
    <cfRule type="expression" dxfId="7" priority="8">
      <formula>NOT(OR(D87=$R$87,D87=$R$88))</formula>
    </cfRule>
  </conditionalFormatting>
  <conditionalFormatting sqref="D88">
    <cfRule type="expression" dxfId="6" priority="7">
      <formula>NOT(OR(D88=$R$87,D88=$R$88))</formula>
    </cfRule>
  </conditionalFormatting>
  <conditionalFormatting sqref="D89:E89">
    <cfRule type="expression" dxfId="5" priority="6">
      <formula>NOT(OR(D89=$R$89,D89=$R$90,D89=$R$91,D89=$R$92,D89=$R$93,D89=$R$94))</formula>
    </cfRule>
  </conditionalFormatting>
  <conditionalFormatting sqref="D90:E90">
    <cfRule type="expression" dxfId="4" priority="5">
      <formula>NOT(OR(D90=$R$89,D90=$R$90,D90=$R$91,D90=$R$92,D90=$R$93,D90=$R$94))</formula>
    </cfRule>
  </conditionalFormatting>
  <conditionalFormatting sqref="D91:E91">
    <cfRule type="expression" dxfId="3" priority="4">
      <formula>NOT(OR(D91=$R$89,D91=$R$90,D91=$R$91,D91=$R$92,D91=$R$93,D91=$R$94))</formula>
    </cfRule>
  </conditionalFormatting>
  <conditionalFormatting sqref="D92:E92">
    <cfRule type="expression" dxfId="2" priority="3">
      <formula>NOT(OR(D92=$R$89,D92=$R$90,D92=$R$91,D92=$R$92,D92=$R$93,D92=$R$94))</formula>
    </cfRule>
  </conditionalFormatting>
  <conditionalFormatting sqref="D93:E93">
    <cfRule type="expression" dxfId="1" priority="2">
      <formula>NOT(OR(D93=$R$89,D93=$R$90,D93=$R$91,D93=$R$92,D93=$R$93,D93=$R$94))</formula>
    </cfRule>
  </conditionalFormatting>
  <conditionalFormatting sqref="D94:E94">
    <cfRule type="expression" dxfId="0" priority="1">
      <formula>NOT(OR(D94=$R$89,D94=$R$90,D94=$R$91,D94=$R$92,D94=$R$93,D94=$R$94))</formula>
    </cfRule>
  </conditionalFormatting>
  <dataValidations count="4">
    <dataValidation type="list" showInputMessage="1" showErrorMessage="1" sqref="D18:E19 D26:E27 D32:E33 D44:E45 D50:E51 D56:E59">
      <formula1>account</formula1>
    </dataValidation>
    <dataValidation type="list" showInputMessage="1" showErrorMessage="1" sqref="G18 H19 G26 H27 G32 H33 H37 G44 H45 G50 H51 G56:G58 H59">
      <formula1>Value</formula1>
    </dataValidation>
    <dataValidation type="list" showInputMessage="1" showErrorMessage="1" sqref="D76:E82 D87:E94">
      <formula1>account2</formula1>
    </dataValidation>
    <dataValidation type="list" showInputMessage="1" showErrorMessage="1" sqref="G76 G87:G88 H77:H82 H89:H94">
      <formula1>value2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Identification</vt:lpstr>
      <vt:lpstr>Problem</vt:lpstr>
      <vt:lpstr>account</vt:lpstr>
      <vt:lpstr>account2</vt:lpstr>
      <vt:lpstr>Value</vt:lpstr>
      <vt:lpstr>value2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Larry</cp:lastModifiedBy>
  <dcterms:created xsi:type="dcterms:W3CDTF">2017-07-29T16:55:17Z</dcterms:created>
  <dcterms:modified xsi:type="dcterms:W3CDTF">2017-08-29T22:46:16Z</dcterms:modified>
</cp:coreProperties>
</file>