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PbdiPybb5jhYMpwOoH0KGsdRN6s6QDulAiGBklGCVayA5EQ/FD+jQjalxAel8xIICchMgXbki59nrUc/ApQbtQ==" workbookSaltValue="KpsmZcvJpDN+6qKDwSEbgw==" workbookSpinCount="100000" lockStructure="1"/>
  <bookViews>
    <workbookView xWindow="0" yWindow="0" windowWidth="28800" windowHeight="10875"/>
  </bookViews>
  <sheets>
    <sheet name="Identification" sheetId="20" r:id="rId1"/>
    <sheet name="Problem" sheetId="1" r:id="rId2"/>
  </sheets>
  <definedNames>
    <definedName name="accounts">Problem!$P$62:$P$76</definedName>
  </definedNames>
  <calcPr calcId="152511"/>
</workbook>
</file>

<file path=xl/calcChain.xml><?xml version="1.0" encoding="utf-8"?>
<calcChain xmlns="http://schemas.openxmlformats.org/spreadsheetml/2006/main">
  <c r="AC23" i="1" l="1"/>
  <c r="H49" i="1"/>
  <c r="H48" i="1"/>
  <c r="H42" i="1"/>
  <c r="H41" i="1"/>
  <c r="H35" i="1"/>
  <c r="H34" i="1"/>
  <c r="H28" i="1"/>
  <c r="H27" i="1"/>
  <c r="H22" i="1"/>
  <c r="H21" i="1" l="1"/>
  <c r="T11" i="1"/>
  <c r="H15" i="1"/>
  <c r="H14" i="1"/>
  <c r="T3" i="1"/>
  <c r="H8" i="1"/>
  <c r="H7" i="1"/>
  <c r="DA20" i="1"/>
  <c r="DA19" i="1"/>
  <c r="DA18" i="1"/>
  <c r="DA11" i="1"/>
  <c r="DA4" i="1"/>
  <c r="DA2" i="1"/>
  <c r="F49" i="1"/>
  <c r="F42" i="1"/>
  <c r="CY4" i="1" l="1"/>
  <c r="CY2" i="1"/>
  <c r="F35" i="1"/>
  <c r="CY11" i="1" l="1"/>
  <c r="F28" i="1"/>
  <c r="F22" i="1"/>
  <c r="CY18" i="1" l="1"/>
  <c r="CY19" i="1"/>
  <c r="CY20" i="1" l="1"/>
  <c r="CX27" i="1"/>
  <c r="E15" i="1"/>
  <c r="E14" i="1"/>
  <c r="Y31" i="1"/>
  <c r="Z31" i="1"/>
  <c r="Y32" i="1"/>
  <c r="Z32" i="1"/>
  <c r="X31" i="1"/>
  <c r="X32" i="1"/>
  <c r="CX29" i="1" l="1"/>
  <c r="CY29" i="1" s="1"/>
  <c r="DA29" i="1" s="1"/>
  <c r="CX28" i="1"/>
  <c r="CY28" i="1" s="1"/>
  <c r="DA28" i="1" s="1"/>
  <c r="CY27" i="1"/>
  <c r="DA27" i="1" s="1"/>
  <c r="B8" i="20"/>
  <c r="B9" i="20" s="1"/>
  <c r="B10" i="20"/>
  <c r="B11" i="20" s="1"/>
  <c r="B13" i="20"/>
  <c r="B14" i="20" s="1"/>
  <c r="B16" i="20"/>
  <c r="B17" i="20" s="1"/>
  <c r="B19" i="20"/>
  <c r="B20" i="20" s="1"/>
  <c r="B21" i="20" l="1"/>
  <c r="F71" i="20"/>
  <c r="B18" i="20"/>
  <c r="E71" i="20"/>
  <c r="B15" i="20"/>
  <c r="G71" i="20"/>
  <c r="B12" i="20"/>
  <c r="B23" i="20" l="1"/>
  <c r="C58" i="20" s="1"/>
  <c r="F72" i="20"/>
  <c r="Q29" i="1" s="1"/>
  <c r="Q34" i="1" s="1"/>
  <c r="Q28" i="1"/>
  <c r="Q33" i="1" s="1"/>
  <c r="G72" i="20"/>
  <c r="R29" i="1" s="1"/>
  <c r="R34" i="1" s="1"/>
  <c r="R28" i="1"/>
  <c r="R33" i="1" s="1"/>
  <c r="E72" i="20"/>
  <c r="P29" i="1" s="1"/>
  <c r="P28" i="1"/>
  <c r="P33" i="1" l="1"/>
  <c r="W28" i="1"/>
  <c r="Z28" i="1" s="1"/>
  <c r="P34" i="1"/>
  <c r="C31" i="20"/>
  <c r="C52" i="20"/>
  <c r="C41" i="20"/>
  <c r="C39" i="20"/>
  <c r="C67" i="20"/>
  <c r="C37" i="20"/>
  <c r="C42" i="20"/>
  <c r="C32" i="20"/>
  <c r="C62" i="20"/>
  <c r="C36" i="20"/>
  <c r="C38" i="20"/>
  <c r="C68" i="20"/>
  <c r="C59" i="20"/>
  <c r="C69" i="20"/>
  <c r="C60" i="20"/>
  <c r="C48" i="20"/>
  <c r="C49" i="20"/>
  <c r="C29" i="20"/>
  <c r="C40" i="20"/>
  <c r="C57" i="20"/>
  <c r="C26" i="20"/>
  <c r="C35" i="20"/>
  <c r="C53" i="20"/>
  <c r="C70" i="20"/>
  <c r="C27" i="20"/>
  <c r="D71" i="20"/>
  <c r="D72" i="20" s="1"/>
  <c r="C51" i="20"/>
  <c r="C43" i="20"/>
  <c r="C30" i="20"/>
  <c r="C55" i="20"/>
  <c r="C63" i="20"/>
  <c r="C44" i="20"/>
  <c r="C56" i="20"/>
  <c r="C45" i="20"/>
  <c r="C28" i="20"/>
  <c r="C54" i="20"/>
  <c r="C61" i="20"/>
  <c r="C34" i="20"/>
  <c r="C66" i="20"/>
  <c r="C47" i="20"/>
  <c r="C46" i="20"/>
  <c r="C64" i="20"/>
  <c r="C33" i="20"/>
  <c r="C65" i="20"/>
  <c r="C50" i="20"/>
  <c r="W33" i="1" l="1"/>
  <c r="Z33" i="1" s="1"/>
  <c r="O28" i="1"/>
  <c r="C71" i="20"/>
  <c r="H71" i="20" s="1"/>
  <c r="S28" i="1" s="1"/>
  <c r="S33" i="1" s="1"/>
  <c r="O29" i="1"/>
  <c r="C72" i="20"/>
  <c r="V28" i="1" l="1"/>
  <c r="O34" i="1"/>
  <c r="O33" i="1"/>
  <c r="N28" i="1"/>
  <c r="H72" i="20"/>
  <c r="S29" i="1" s="1"/>
  <c r="S34" i="1" s="1"/>
  <c r="C73" i="20"/>
  <c r="C74" i="20" s="1"/>
  <c r="N29" i="1"/>
  <c r="CZ2" i="1" l="1"/>
  <c r="CW2" i="1" s="1"/>
  <c r="CZ29" i="1"/>
  <c r="CZ28" i="1"/>
  <c r="CZ20" i="1"/>
  <c r="CW20" i="1" s="1"/>
  <c r="CZ27" i="1"/>
  <c r="CZ4" i="1"/>
  <c r="CW4" i="1" s="1"/>
  <c r="CZ19" i="1"/>
  <c r="CW19" i="1" s="1"/>
  <c r="CZ18" i="1"/>
  <c r="CW18" i="1" s="1"/>
  <c r="CZ11" i="1"/>
  <c r="CW11" i="1" s="1"/>
  <c r="BZ4" i="1"/>
  <c r="BZ2" i="1"/>
  <c r="BA14" i="1"/>
  <c r="BZ18" i="1"/>
  <c r="BZ11" i="1"/>
  <c r="BZ20" i="1"/>
  <c r="AA4" i="1"/>
  <c r="BZ19" i="1"/>
  <c r="L4" i="1"/>
  <c r="Y28" i="1"/>
  <c r="P11" i="1" s="1"/>
  <c r="BX2" i="1"/>
  <c r="CE4" i="1" s="1"/>
  <c r="BA30" i="1"/>
  <c r="BA21" i="1"/>
  <c r="BA29" i="1"/>
  <c r="BA28" i="1"/>
  <c r="BA12" i="1"/>
  <c r="AA20" i="1"/>
  <c r="AA19" i="1"/>
  <c r="AA11" i="1"/>
  <c r="AA18" i="1"/>
  <c r="AA2" i="1"/>
  <c r="U28" i="1"/>
  <c r="X28" i="1" s="1"/>
  <c r="N34" i="1"/>
  <c r="V33" i="1"/>
  <c r="N33" i="1"/>
  <c r="L2" i="1"/>
  <c r="L20" i="1"/>
  <c r="L19" i="1"/>
  <c r="L18" i="1"/>
  <c r="L11" i="1"/>
  <c r="G74" i="20"/>
  <c r="R31" i="1" s="1"/>
  <c r="R36" i="1" s="1"/>
  <c r="D74" i="20"/>
  <c r="O31" i="1" s="1"/>
  <c r="O36" i="1" s="1"/>
  <c r="F74" i="20"/>
  <c r="Q31" i="1" s="1"/>
  <c r="Q36" i="1" s="1"/>
  <c r="H74" i="20"/>
  <c r="S31" i="1" s="1"/>
  <c r="S36" i="1" s="1"/>
  <c r="N31" i="1"/>
  <c r="E74" i="20"/>
  <c r="P31" i="1" s="1"/>
  <c r="P36" i="1" s="1"/>
  <c r="G73" i="20"/>
  <c r="R30" i="1" s="1"/>
  <c r="R35" i="1" s="1"/>
  <c r="H73" i="20"/>
  <c r="S30" i="1" s="1"/>
  <c r="S35" i="1" s="1"/>
  <c r="D73" i="20"/>
  <c r="O30" i="1" s="1"/>
  <c r="N30" i="1"/>
  <c r="U29" i="1" s="1"/>
  <c r="X29" i="1" s="1"/>
  <c r="E73" i="20"/>
  <c r="P30" i="1" s="1"/>
  <c r="F73" i="20"/>
  <c r="Q30" i="1" s="1"/>
  <c r="Q35" i="1" s="1"/>
  <c r="CF4" i="1" l="1"/>
  <c r="CW21" i="1"/>
  <c r="I41" i="1" s="1"/>
  <c r="I43" i="1" s="1"/>
  <c r="C41" i="1" s="1"/>
  <c r="C42" i="1" s="1"/>
  <c r="DE2" i="1"/>
  <c r="B38" i="1" s="1"/>
  <c r="AB11" i="1"/>
  <c r="M11" i="1"/>
  <c r="S6" i="1" s="1"/>
  <c r="T6" i="1" s="1"/>
  <c r="BY2" i="1"/>
  <c r="CA2" i="1" s="1"/>
  <c r="BX4" i="1"/>
  <c r="CE5" i="1" s="1"/>
  <c r="CF5" i="1" s="1"/>
  <c r="Y33" i="1"/>
  <c r="P20" i="1" s="1"/>
  <c r="BB12" i="1"/>
  <c r="AW15" i="1" s="1"/>
  <c r="BB28" i="1"/>
  <c r="AW18" i="1" s="1"/>
  <c r="F15" i="1"/>
  <c r="U33" i="1"/>
  <c r="X33" i="1" s="1"/>
  <c r="P18" i="1" s="1"/>
  <c r="O35" i="1"/>
  <c r="V30" i="1"/>
  <c r="AB19" i="1" s="1"/>
  <c r="V29" i="1"/>
  <c r="P35" i="1"/>
  <c r="W30" i="1"/>
  <c r="Z30" i="1" s="1"/>
  <c r="W29" i="1"/>
  <c r="Z29" i="1" s="1"/>
  <c r="N35" i="1"/>
  <c r="U30" i="1"/>
  <c r="X30" i="1" s="1"/>
  <c r="N2" i="1"/>
  <c r="A2" i="1" s="1"/>
  <c r="N36" i="1"/>
  <c r="Z19" i="1" l="1"/>
  <c r="AB25" i="1"/>
  <c r="AC25" i="1" s="1"/>
  <c r="Z11" i="1"/>
  <c r="AB27" i="1"/>
  <c r="AC27" i="1" s="1"/>
  <c r="AZ12" i="1"/>
  <c r="AZ28" i="1"/>
  <c r="AD11" i="1"/>
  <c r="K14" i="1" s="1"/>
  <c r="S14" i="1" s="1"/>
  <c r="T14" i="1" s="1"/>
  <c r="AC11" i="1"/>
  <c r="AE11" i="1" s="1"/>
  <c r="BY4" i="1"/>
  <c r="CA4" i="1" s="1"/>
  <c r="BX11" i="1"/>
  <c r="CE6" i="1" s="1"/>
  <c r="CF6" i="1" s="1"/>
  <c r="BD12" i="1"/>
  <c r="BC12" i="1"/>
  <c r="BE12" i="1" s="1"/>
  <c r="AB20" i="1"/>
  <c r="M20" i="1"/>
  <c r="S9" i="1" s="1"/>
  <c r="T9" i="1" s="1"/>
  <c r="BC28" i="1"/>
  <c r="BE28" i="1" s="1"/>
  <c r="BD28" i="1"/>
  <c r="M18" i="1"/>
  <c r="S7" i="1" s="1"/>
  <c r="T7" i="1" s="1"/>
  <c r="AB18" i="1"/>
  <c r="AD18" i="1" s="1"/>
  <c r="M2" i="1"/>
  <c r="S4" i="1" s="1"/>
  <c r="T4" i="1" s="1"/>
  <c r="AB2" i="1"/>
  <c r="AB29" i="1" s="1"/>
  <c r="AD19" i="1"/>
  <c r="K16" i="1" s="1"/>
  <c r="S16" i="1" s="1"/>
  <c r="T16" i="1" s="1"/>
  <c r="AC19" i="1"/>
  <c r="AE19" i="1" s="1"/>
  <c r="Y30" i="1"/>
  <c r="P19" i="1" s="1"/>
  <c r="M19" i="1"/>
  <c r="S8" i="1" s="1"/>
  <c r="T8" i="1" s="1"/>
  <c r="Y29" i="1"/>
  <c r="P2" i="1" s="1"/>
  <c r="U35" i="1"/>
  <c r="X35" i="1" s="1"/>
  <c r="W35" i="1"/>
  <c r="Z35" i="1" s="1"/>
  <c r="W34" i="1"/>
  <c r="Z34" i="1" s="1"/>
  <c r="U34" i="1"/>
  <c r="X34" i="1" s="1"/>
  <c r="P4" i="1" s="1"/>
  <c r="V35" i="1"/>
  <c r="V34" i="1"/>
  <c r="Z20" i="1" l="1"/>
  <c r="AB24" i="1"/>
  <c r="AC24" i="1" s="1"/>
  <c r="Z2" i="1"/>
  <c r="AC29" i="1"/>
  <c r="Z18" i="1"/>
  <c r="AB26" i="1"/>
  <c r="AC26" i="1" s="1"/>
  <c r="K22" i="1"/>
  <c r="AY12" i="1"/>
  <c r="K25" i="1"/>
  <c r="AY28" i="1"/>
  <c r="BY11" i="1"/>
  <c r="CA11" i="1" s="1"/>
  <c r="BX18" i="1"/>
  <c r="CE7" i="1" s="1"/>
  <c r="CF7" i="1" s="1"/>
  <c r="Y34" i="1"/>
  <c r="BB14" i="1"/>
  <c r="BB29" i="1"/>
  <c r="Y35" i="1"/>
  <c r="BB21" i="1"/>
  <c r="BB30" i="1"/>
  <c r="AC20" i="1"/>
  <c r="AE20" i="1" s="1"/>
  <c r="AD20" i="1"/>
  <c r="K17" i="1" s="1"/>
  <c r="S17" i="1" s="1"/>
  <c r="T17" i="1" s="1"/>
  <c r="M4" i="1"/>
  <c r="S5" i="1" s="1"/>
  <c r="T5" i="1" s="1"/>
  <c r="T10" i="1" s="1"/>
  <c r="I7" i="1" s="1"/>
  <c r="I9" i="1" s="1"/>
  <c r="AB4" i="1"/>
  <c r="AC2" i="1"/>
  <c r="AE2" i="1" s="1"/>
  <c r="AD2" i="1"/>
  <c r="K12" i="1" s="1"/>
  <c r="S12" i="1" s="1"/>
  <c r="T12" i="1" s="1"/>
  <c r="K15" i="1"/>
  <c r="S15" i="1" s="1"/>
  <c r="T15" i="1" s="1"/>
  <c r="AC18" i="1"/>
  <c r="AE18" i="1" s="1"/>
  <c r="S2" i="1"/>
  <c r="B4" i="1" s="1"/>
  <c r="F8" i="1"/>
  <c r="Z4" i="1" l="1"/>
  <c r="Z21" i="1" s="1"/>
  <c r="AB28" i="1"/>
  <c r="AC28" i="1" s="1"/>
  <c r="AW20" i="1"/>
  <c r="AZ30" i="1"/>
  <c r="AW17" i="1"/>
  <c r="AZ21" i="1"/>
  <c r="AW19" i="1"/>
  <c r="AZ29" i="1"/>
  <c r="AW16" i="1"/>
  <c r="AZ14" i="1"/>
  <c r="C7" i="1"/>
  <c r="C8" i="1" s="1"/>
  <c r="Y21" i="1"/>
  <c r="X21" i="1" s="1"/>
  <c r="Z22" i="1"/>
  <c r="Y22" i="1" s="1"/>
  <c r="X22" i="1" s="1"/>
  <c r="W22" i="1" s="1"/>
  <c r="BY18" i="1"/>
  <c r="CA18" i="1" s="1"/>
  <c r="BX20" i="1"/>
  <c r="CE9" i="1" s="1"/>
  <c r="CF9" i="1" s="1"/>
  <c r="BX19" i="1"/>
  <c r="CE8" i="1" s="1"/>
  <c r="CF8" i="1" s="1"/>
  <c r="BC30" i="1"/>
  <c r="BE30" i="1" s="1"/>
  <c r="BD30" i="1"/>
  <c r="BD21" i="1"/>
  <c r="BC21" i="1"/>
  <c r="BE21" i="1" s="1"/>
  <c r="BD29" i="1"/>
  <c r="BC29" i="1"/>
  <c r="BE29" i="1" s="1"/>
  <c r="BD14" i="1"/>
  <c r="BC14" i="1"/>
  <c r="BE14" i="1" s="1"/>
  <c r="AD4" i="1"/>
  <c r="K13" i="1" s="1"/>
  <c r="S13" i="1" s="1"/>
  <c r="T13" i="1" s="1"/>
  <c r="T18" i="1" s="1"/>
  <c r="I14" i="1" s="1"/>
  <c r="I16" i="1" s="1"/>
  <c r="C14" i="1" s="1"/>
  <c r="C15" i="1" s="1"/>
  <c r="AC4" i="1"/>
  <c r="AE4" i="1" s="1"/>
  <c r="AF2" i="1" s="1"/>
  <c r="B11" i="1" s="1"/>
  <c r="B45" i="1" l="1"/>
  <c r="P47" i="1"/>
  <c r="N47" i="1" s="1"/>
  <c r="BF12" i="1"/>
  <c r="B18" i="1" s="1"/>
  <c r="CF10" i="1"/>
  <c r="I34" i="1" s="1"/>
  <c r="I36" i="1" s="1"/>
  <c r="C34" i="1" s="1"/>
  <c r="C35" i="1" s="1"/>
  <c r="BY19" i="1"/>
  <c r="CA19" i="1" s="1"/>
  <c r="BY20" i="1"/>
  <c r="CA20" i="1" s="1"/>
  <c r="CE2" i="1" s="1"/>
  <c r="B31" i="1" s="1"/>
  <c r="W21" i="1"/>
  <c r="B24" i="1" s="1"/>
  <c r="I27" i="1"/>
  <c r="I29" i="1" s="1"/>
  <c r="C27" i="1" s="1"/>
  <c r="C28" i="1" s="1"/>
  <c r="AZ31" i="1"/>
  <c r="K26" i="1"/>
  <c r="AY29" i="1"/>
  <c r="K24" i="1"/>
  <c r="AY21" i="1"/>
  <c r="K27" i="1"/>
  <c r="AY30" i="1"/>
  <c r="K23" i="1"/>
  <c r="AY14" i="1"/>
  <c r="AY31" i="1" l="1"/>
  <c r="I21" i="1" s="1"/>
  <c r="I23" i="1" s="1"/>
  <c r="C21" i="1" s="1"/>
  <c r="C22" i="1" s="1"/>
  <c r="N46" i="1"/>
  <c r="I48" i="1"/>
  <c r="I50" i="1" s="1"/>
  <c r="C48" i="1" s="1"/>
  <c r="C49" i="1" s="1"/>
  <c r="N48" i="1"/>
  <c r="N49" i="1" s="1"/>
</calcChain>
</file>

<file path=xl/sharedStrings.xml><?xml version="1.0" encoding="utf-8"?>
<sst xmlns="http://schemas.openxmlformats.org/spreadsheetml/2006/main" count="92" uniqueCount="48">
  <si>
    <t>Date</t>
  </si>
  <si>
    <t>Accounts</t>
  </si>
  <si>
    <t>Debit</t>
  </si>
  <si>
    <t>Credit</t>
  </si>
  <si>
    <t>(b)</t>
  </si>
  <si>
    <t>(a)</t>
  </si>
  <si>
    <t xml:space="preserve"> </t>
  </si>
  <si>
    <t xml:space="preserve">GENERAL JOURNAL   </t>
    <phoneticPr fontId="2" type="noConversion"/>
  </si>
  <si>
    <t>Random Number</t>
  </si>
  <si>
    <t>Date:</t>
  </si>
  <si>
    <t>5 Digit Identification Number:</t>
  </si>
  <si>
    <t>Student Name:</t>
  </si>
  <si>
    <t>ü</t>
  </si>
  <si>
    <t>Random numbers</t>
  </si>
  <si>
    <t>math tutor</t>
  </si>
  <si>
    <t>fishing guide</t>
  </si>
  <si>
    <t>riding instructor</t>
  </si>
  <si>
    <t>architect</t>
  </si>
  <si>
    <t>web designer</t>
  </si>
  <si>
    <t>business consultant</t>
  </si>
  <si>
    <t>Dec. 31</t>
  </si>
  <si>
    <t>To recognize earned portion of client prepayments</t>
  </si>
  <si>
    <t>Prepare adjusting entries for each of the following transactions.  Account titles and amounts are to be selected from the choices found in the drop down pick lists associated with each entry.  A check mark will appear beside a correct entry.</t>
  </si>
  <si>
    <t>(c)</t>
  </si>
  <si>
    <t>To record consumption of advertising services to date</t>
  </si>
  <si>
    <t>(d)</t>
  </si>
  <si>
    <t>To record earned, but unbilled services provided to customer.</t>
  </si>
  <si>
    <t>(e)</t>
  </si>
  <si>
    <t>To adjust insurance expense</t>
  </si>
  <si>
    <t>(f)</t>
  </si>
  <si>
    <t>(g)</t>
  </si>
  <si>
    <t>To adjust supplies inventory to reflect portion used</t>
  </si>
  <si>
    <t>Top record accrued interest on loan</t>
  </si>
  <si>
    <t>Cash</t>
  </si>
  <si>
    <t>Depreciation Expense</t>
  </si>
  <si>
    <t>Accounts Receivable</t>
  </si>
  <si>
    <t>Supplies</t>
  </si>
  <si>
    <t>Prepaid Advertising</t>
  </si>
  <si>
    <t>Revenue</t>
  </si>
  <si>
    <t>Prepaid Insurance</t>
  </si>
  <si>
    <t>Insurance Expense</t>
  </si>
  <si>
    <t>Advertising Expense</t>
  </si>
  <si>
    <t>Unearned Revenue</t>
  </si>
  <si>
    <t>Supplies Expense</t>
  </si>
  <si>
    <t>Interest Payable</t>
  </si>
  <si>
    <t>Accumulated Depreciation</t>
  </si>
  <si>
    <t>Interest Expense</t>
  </si>
  <si>
    <t>Enter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</si>
</sst>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00_);_(&quot;$&quot;* \(#,##0.00\);_(&quot;$&quot;* &quot;-&quot;_);_(@_)"/>
    <numFmt numFmtId="167" formatCode="_(&quot;$&quot;* #,##0.0_);_(&quot;$&quot;* \(#,##0.0\);_(&quot;$&quot;* &quot;-&quot;?_);_(@_)"/>
  </numFmts>
  <fonts count="18">
    <font>
      <sz val="10"/>
      <name val="Arial"/>
    </font>
    <font>
      <sz val="10"/>
      <name val="Arial"/>
    </font>
    <font>
      <sz val="8"/>
      <name val="Arial"/>
    </font>
    <font>
      <sz val="12"/>
      <color indexed="12"/>
      <name val="Arial"/>
      <family val="2"/>
    </font>
    <font>
      <sz val="10"/>
      <name val="Arial"/>
    </font>
    <font>
      <sz val="10"/>
      <name val="Myriad Web Pro"/>
    </font>
    <font>
      <sz val="10"/>
      <name val="Myriad Web Pro"/>
    </font>
    <font>
      <b/>
      <sz val="10"/>
      <color indexed="9"/>
      <name val="Myriad Web Pro"/>
    </font>
    <font>
      <sz val="10"/>
      <color indexed="16"/>
      <name val="Myriad Web Pro"/>
    </font>
    <font>
      <i/>
      <sz val="10"/>
      <name val="Myriad Web Pro"/>
    </font>
    <font>
      <sz val="12"/>
      <name val="Myriad Pro"/>
    </font>
    <font>
      <sz val="12"/>
      <color indexed="16"/>
      <name val="Myriad Pro"/>
    </font>
    <font>
      <sz val="10"/>
      <name val="Myriad Pro"/>
    </font>
    <font>
      <sz val="10"/>
      <color indexed="12"/>
      <name val="Myriad Web Pro"/>
    </font>
    <font>
      <b/>
      <sz val="10"/>
      <color indexed="12"/>
      <name val="Myriad Web Pro"/>
    </font>
    <font>
      <sz val="20"/>
      <name val="Wingdings"/>
      <charset val="2"/>
    </font>
    <font>
      <b/>
      <sz val="12"/>
      <name val="Wingdings"/>
      <charset val="2"/>
    </font>
    <font>
      <sz val="10"/>
      <name val="Arial"/>
      <family val="2"/>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thin">
        <color indexed="10"/>
      </bottom>
      <diagonal/>
    </border>
  </borders>
  <cellStyleXfs count="28">
    <xf numFmtId="0" fontId="0" fillId="0" borderId="0"/>
    <xf numFmtId="0" fontId="5" fillId="2" borderId="0" applyNumberFormat="0" applyAlignment="0"/>
    <xf numFmtId="0" fontId="6" fillId="3" borderId="0"/>
    <xf numFmtId="0" fontId="7" fillId="3" borderId="0">
      <alignment horizontal="center" vertical="center"/>
    </xf>
    <xf numFmtId="43" fontId="1" fillId="0" borderId="0" applyFont="0" applyFill="0" applyBorder="0" applyAlignment="0" applyProtection="0"/>
    <xf numFmtId="3" fontId="6"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12" fillId="4" borderId="3" applyFont="0" applyAlignment="0">
      <alignment horizontal="center" vertical="center" wrapText="1"/>
    </xf>
    <xf numFmtId="0" fontId="6"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6" fillId="0" borderId="5" applyNumberFormat="0" applyFont="0" applyFill="0" applyAlignment="0">
      <alignment horizontal="center" vertical="center" wrapText="1"/>
    </xf>
    <xf numFmtId="164" fontId="5" fillId="0" borderId="5" applyNumberFormat="0" applyFont="0" applyFill="0" applyAlignment="0">
      <alignment horizontal="center" vertical="center" wrapText="1"/>
    </xf>
    <xf numFmtId="164" fontId="6"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0" fontId="17" fillId="8" borderId="0">
      <alignment vertical="center"/>
    </xf>
    <xf numFmtId="164" fontId="6" fillId="6" borderId="8" applyNumberFormat="0" applyBorder="0" applyAlignment="0">
      <alignment horizontal="left" vertical="center" wrapText="1"/>
    </xf>
    <xf numFmtId="0" fontId="17" fillId="0" borderId="0"/>
    <xf numFmtId="0" fontId="6" fillId="4" borderId="0" applyFill="0">
      <alignment vertical="center" wrapText="1"/>
    </xf>
    <xf numFmtId="0" fontId="11" fillId="0" borderId="0">
      <alignment horizontal="left" vertical="center" wrapText="1"/>
    </xf>
    <xf numFmtId="0" fontId="10" fillId="0" borderId="0">
      <alignment horizontal="left" vertical="center" wrapText="1"/>
    </xf>
    <xf numFmtId="0" fontId="6"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65">
    <xf numFmtId="0" fontId="0" fillId="0" borderId="0" xfId="0"/>
    <xf numFmtId="0" fontId="0" fillId="0" borderId="0" xfId="0" applyBorder="1"/>
    <xf numFmtId="1" fontId="4" fillId="0" borderId="0" xfId="0" applyNumberFormat="1" applyFont="1" applyBorder="1"/>
    <xf numFmtId="1" fontId="4" fillId="0" borderId="9" xfId="0" applyNumberFormat="1" applyFont="1" applyBorder="1"/>
    <xf numFmtId="0" fontId="0" fillId="0" borderId="0" xfId="0" applyAlignment="1">
      <alignment horizontal="left" vertical="center"/>
    </xf>
    <xf numFmtId="0" fontId="0" fillId="0" borderId="0" xfId="0" applyAlignment="1" applyProtection="1">
      <alignment horizontal="left" vertical="center"/>
    </xf>
    <xf numFmtId="1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0" applyFont="1" applyAlignment="1" applyProtection="1">
      <alignment horizontal="center" vertical="center"/>
      <protection locked="0"/>
    </xf>
    <xf numFmtId="0" fontId="6" fillId="0" borderId="0" xfId="0" applyFont="1" applyAlignment="1" applyProtection="1"/>
    <xf numFmtId="0" fontId="6" fillId="0" borderId="0" xfId="0" applyFont="1" applyProtection="1"/>
    <xf numFmtId="0" fontId="5" fillId="0" borderId="0" xfId="0" applyFont="1" applyAlignment="1" applyProtection="1"/>
    <xf numFmtId="42" fontId="6" fillId="0" borderId="0" xfId="0" applyNumberFormat="1" applyFont="1" applyAlignment="1" applyProtection="1"/>
    <xf numFmtId="0" fontId="6" fillId="0" borderId="0" xfId="0" applyFont="1" applyAlignment="1" applyProtection="1">
      <alignment vertical="center"/>
    </xf>
    <xf numFmtId="41" fontId="6" fillId="0" borderId="0" xfId="0" applyNumberFormat="1" applyFont="1" applyAlignment="1" applyProtection="1"/>
    <xf numFmtId="1" fontId="6" fillId="0" borderId="0" xfId="0" applyNumberFormat="1" applyFont="1" applyAlignment="1" applyProtection="1">
      <alignment vertical="center"/>
    </xf>
    <xf numFmtId="42" fontId="6" fillId="0" borderId="0" xfId="0" applyNumberFormat="1" applyFont="1" applyAlignment="1" applyProtection="1">
      <alignment vertical="center"/>
    </xf>
    <xf numFmtId="0" fontId="15" fillId="0" borderId="0" xfId="0" applyFont="1" applyAlignment="1" applyProtection="1">
      <alignment horizontal="center" vertical="center"/>
    </xf>
    <xf numFmtId="0" fontId="7" fillId="5" borderId="3" xfId="12" applyFont="1" applyAlignment="1" applyProtection="1">
      <alignment vertical="center"/>
    </xf>
    <xf numFmtId="0" fontId="7" fillId="5" borderId="3" xfId="12" applyFont="1" applyAlignment="1" applyProtection="1">
      <alignment horizontal="center" vertical="center"/>
    </xf>
    <xf numFmtId="0" fontId="6" fillId="0" borderId="0" xfId="0" applyFont="1" applyFill="1" applyProtection="1"/>
    <xf numFmtId="0" fontId="7" fillId="5" borderId="3" xfId="12" applyFont="1" applyAlignment="1" applyProtection="1">
      <alignment horizontal="center" vertical="center" wrapText="1"/>
    </xf>
    <xf numFmtId="3" fontId="5" fillId="0" borderId="3" xfId="8" applyFont="1" applyFill="1" applyAlignment="1" applyProtection="1">
      <alignment horizontal="center" vertical="center" wrapText="1"/>
    </xf>
    <xf numFmtId="3" fontId="16" fillId="0" borderId="3" xfId="8" applyFont="1" applyFill="1" applyAlignment="1" applyProtection="1">
      <alignment horizontal="left" vertical="center" wrapText="1"/>
    </xf>
    <xf numFmtId="3" fontId="6" fillId="0" borderId="3" xfId="8" applyFont="1" applyFill="1" applyAlignment="1" applyProtection="1">
      <alignment horizontal="right" vertical="center" wrapText="1"/>
    </xf>
    <xf numFmtId="3" fontId="13" fillId="0" borderId="3" xfId="8" applyFont="1" applyFill="1" applyAlignment="1" applyProtection="1">
      <alignment horizontal="center" vertical="center" wrapText="1"/>
    </xf>
    <xf numFmtId="3" fontId="14" fillId="0" borderId="3" xfId="8" applyFont="1" applyFill="1" applyAlignment="1" applyProtection="1">
      <alignment vertical="center" wrapText="1"/>
    </xf>
    <xf numFmtId="3" fontId="9" fillId="0" borderId="3" xfId="8" applyFont="1" applyFill="1" applyAlignment="1" applyProtection="1">
      <alignment horizontal="justify" vertical="center" wrapText="1"/>
    </xf>
    <xf numFmtId="3" fontId="13" fillId="0" borderId="3" xfId="8" applyFont="1" applyFill="1" applyAlignment="1" applyProtection="1">
      <alignment vertical="center" wrapText="1"/>
    </xf>
    <xf numFmtId="3" fontId="5" fillId="0" borderId="3" xfId="8" applyFont="1" applyFill="1" applyAlignment="1" applyProtection="1">
      <alignment horizontal="left" vertical="center" wrapText="1"/>
      <protection locked="0"/>
    </xf>
    <xf numFmtId="3" fontId="5" fillId="0" borderId="3" xfId="8" applyFont="1" applyFill="1" applyAlignment="1" applyProtection="1">
      <alignment horizontal="left" vertical="center" wrapText="1" indent="2"/>
      <protection locked="0"/>
    </xf>
    <xf numFmtId="0" fontId="17" fillId="0" borderId="0" xfId="0" applyFont="1"/>
    <xf numFmtId="0" fontId="5" fillId="0" borderId="0" xfId="0" applyFont="1"/>
    <xf numFmtId="44" fontId="6" fillId="0" borderId="0" xfId="0" applyNumberFormat="1" applyFont="1" applyAlignment="1" applyProtection="1">
      <alignment vertical="center"/>
    </xf>
    <xf numFmtId="165" fontId="6" fillId="0" borderId="0" xfId="0" applyNumberFormat="1" applyFont="1" applyAlignment="1" applyProtection="1">
      <alignment vertical="center"/>
    </xf>
    <xf numFmtId="0" fontId="5" fillId="0" borderId="0" xfId="0" applyFont="1" applyAlignment="1">
      <alignment wrapText="1"/>
    </xf>
    <xf numFmtId="42" fontId="5" fillId="0" borderId="0" xfId="0" applyNumberFormat="1" applyFont="1" applyAlignment="1">
      <alignment horizontal="right"/>
    </xf>
    <xf numFmtId="0" fontId="5" fillId="0" borderId="0" xfId="0" applyFont="1" applyAlignment="1">
      <alignment horizontal="right"/>
    </xf>
    <xf numFmtId="43" fontId="5" fillId="0" borderId="3" xfId="4" applyNumberFormat="1" applyFont="1" applyFill="1" applyBorder="1" applyAlignment="1" applyProtection="1">
      <alignment vertical="center" wrapText="1"/>
      <protection locked="0"/>
    </xf>
    <xf numFmtId="44" fontId="6" fillId="0" borderId="0" xfId="0" applyNumberFormat="1" applyFont="1" applyProtection="1"/>
    <xf numFmtId="0" fontId="6" fillId="0" borderId="0" xfId="0" applyFont="1" applyAlignment="1" applyProtection="1">
      <alignment vertical="center"/>
    </xf>
    <xf numFmtId="44" fontId="5" fillId="0" borderId="0" xfId="0" applyNumberFormat="1" applyFont="1" applyAlignment="1">
      <alignment horizontal="right"/>
    </xf>
    <xf numFmtId="0" fontId="5" fillId="0" borderId="0" xfId="0" applyFont="1" applyProtection="1"/>
    <xf numFmtId="42" fontId="5" fillId="0" borderId="0" xfId="0" applyNumberFormat="1" applyFont="1" applyAlignment="1" applyProtection="1">
      <alignment horizontal="right"/>
    </xf>
    <xf numFmtId="0" fontId="5" fillId="0" borderId="0" xfId="0" applyFont="1" applyAlignment="1" applyProtection="1">
      <alignment wrapText="1"/>
    </xf>
    <xf numFmtId="42" fontId="5" fillId="0" borderId="0" xfId="0" applyNumberFormat="1" applyFont="1" applyProtection="1"/>
    <xf numFmtId="44" fontId="5" fillId="0" borderId="0" xfId="0" applyNumberFormat="1" applyFont="1" applyProtection="1"/>
    <xf numFmtId="0" fontId="5" fillId="0" borderId="0" xfId="0" applyFont="1" applyAlignment="1" applyProtection="1">
      <alignment horizontal="right"/>
    </xf>
    <xf numFmtId="44" fontId="5" fillId="0" borderId="0" xfId="27" applyFont="1" applyProtection="1"/>
    <xf numFmtId="0" fontId="5" fillId="0" borderId="0" xfId="22" applyFont="1" applyFill="1" applyAlignment="1" applyProtection="1">
      <alignment horizontal="justify" vertical="center" wrapText="1"/>
    </xf>
    <xf numFmtId="0" fontId="5" fillId="0" borderId="10" xfId="22" applyFont="1" applyFill="1" applyBorder="1" applyAlignment="1" applyProtection="1">
      <alignment vertical="center" wrapText="1"/>
    </xf>
    <xf numFmtId="43" fontId="5" fillId="0" borderId="3" xfId="4" applyNumberFormat="1" applyFont="1" applyFill="1" applyBorder="1" applyAlignment="1" applyProtection="1">
      <alignment vertical="center" wrapText="1"/>
    </xf>
    <xf numFmtId="44" fontId="5" fillId="0" borderId="0" xfId="0" applyNumberFormat="1" applyFont="1" applyAlignment="1" applyProtection="1">
      <alignment horizontal="right"/>
    </xf>
    <xf numFmtId="166" fontId="5" fillId="0" borderId="0" xfId="0" applyNumberFormat="1" applyFont="1" applyProtection="1"/>
    <xf numFmtId="3" fontId="16" fillId="0" borderId="3" xfId="8" applyFont="1" applyFill="1" applyAlignment="1" applyProtection="1">
      <alignment horizontal="left" vertical="center" wrapText="1"/>
      <protection locked="0"/>
    </xf>
    <xf numFmtId="167" fontId="6" fillId="0" borderId="0" xfId="0" applyNumberFormat="1" applyFont="1" applyProtection="1"/>
    <xf numFmtId="167" fontId="6" fillId="0" borderId="0" xfId="0" applyNumberFormat="1" applyFont="1" applyAlignment="1" applyProtection="1">
      <alignment vertical="center"/>
    </xf>
    <xf numFmtId="44" fontId="5" fillId="0" borderId="0" xfId="0" applyNumberFormat="1" applyFont="1"/>
    <xf numFmtId="42" fontId="5" fillId="0" borderId="0" xfId="0" applyNumberFormat="1" applyFont="1"/>
    <xf numFmtId="0" fontId="17" fillId="0" borderId="0" xfId="0" applyFont="1" applyProtection="1">
      <protection locked="0"/>
    </xf>
    <xf numFmtId="0" fontId="5" fillId="0" borderId="0" xfId="22" applyFont="1" applyFill="1" applyAlignment="1" applyProtection="1">
      <alignment horizontal="justify" vertical="center" wrapText="1"/>
    </xf>
    <xf numFmtId="0" fontId="6" fillId="0" borderId="0" xfId="0" applyFont="1" applyAlignment="1" applyProtection="1">
      <alignment vertical="center" wrapText="1"/>
    </xf>
    <xf numFmtId="0" fontId="6" fillId="0" borderId="0" xfId="0" applyFont="1" applyAlignment="1" applyProtection="1">
      <alignment vertical="center"/>
    </xf>
    <xf numFmtId="0" fontId="5" fillId="0" borderId="0" xfId="22" applyFont="1" applyFill="1" applyAlignment="1" applyProtection="1">
      <alignment horizontal="center" vertical="center" wrapText="1"/>
    </xf>
    <xf numFmtId="0" fontId="5" fillId="0" borderId="10" xfId="22" applyFont="1" applyFill="1" applyBorder="1" applyAlignment="1" applyProtection="1">
      <alignment horizontal="left" vertical="center" wrapText="1"/>
    </xf>
  </cellXfs>
  <cellStyles count="28">
    <cellStyle name="bsbody" xfId="1"/>
    <cellStyle name="bsfoot" xfId="2"/>
    <cellStyle name="bshead" xfId="3"/>
    <cellStyle name="Comma" xfId="4" builtinId="3"/>
    <cellStyle name="Currency" xfId="27" builtinId="4"/>
    <cellStyle name="GenJour#" xfId="5"/>
    <cellStyle name="GenJour1" xfId="6"/>
    <cellStyle name="GenJour2" xfId="7"/>
    <cellStyle name="GenJourBody" xfId="8"/>
    <cellStyle name="GenJourDate" xfId="9"/>
    <cellStyle name="GenJourDes" xfId="10"/>
    <cellStyle name="GenJourFoot" xfId="11"/>
    <cellStyle name="GenJourHead" xfId="12"/>
    <cellStyle name="LedgBody" xfId="13"/>
    <cellStyle name="ledgerwkbk" xfId="14"/>
    <cellStyle name="ledgerwkbk 2" xfId="15"/>
    <cellStyle name="LedgGreen" xfId="16"/>
    <cellStyle name="LedgHead" xfId="17"/>
    <cellStyle name="LedgSide" xfId="18"/>
    <cellStyle name="LedgSide 2" xfId="19"/>
    <cellStyle name="LedgYellow" xfId="20"/>
    <cellStyle name="Normal" xfId="0" builtinId="0"/>
    <cellStyle name="Normal 2" xfId="21"/>
    <cellStyle name="POA" xfId="22"/>
    <cellStyle name="POAanswer" xfId="23"/>
    <cellStyle name="POAhead" xfId="24"/>
    <cellStyle name="trialbody" xfId="25"/>
    <cellStyle name="trialhead"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2"/>
  <sheetViews>
    <sheetView tabSelected="1" workbookViewId="0">
      <selection activeCell="B3" sqref="B3"/>
    </sheetView>
  </sheetViews>
  <sheetFormatPr defaultColWidth="0" defaultRowHeight="12.75" zeroHeight="1"/>
  <cols>
    <col min="1" max="1" width="32.7109375" customWidth="1"/>
    <col min="2" max="2" width="30.140625" customWidth="1"/>
    <col min="3" max="3" width="9.85546875" hidden="1" customWidth="1"/>
    <col min="4" max="9" width="0" hidden="1" customWidth="1"/>
    <col min="10" max="256" width="9.140625" hidden="1" customWidth="1"/>
    <col min="257" max="16384" width="9.140625" hidden="1"/>
  </cols>
  <sheetData>
    <row r="1" spans="1:2" ht="27" customHeight="1">
      <c r="A1" s="5" t="s">
        <v>11</v>
      </c>
      <c r="B1" s="8" t="s">
        <v>47</v>
      </c>
    </row>
    <row r="2" spans="1:2" ht="27" customHeight="1">
      <c r="A2" s="5" t="s">
        <v>10</v>
      </c>
      <c r="B2" s="7">
        <v>0</v>
      </c>
    </row>
    <row r="3" spans="1:2" ht="27" customHeight="1">
      <c r="A3" s="5" t="s">
        <v>9</v>
      </c>
      <c r="B3" s="6">
        <v>42612</v>
      </c>
    </row>
    <row r="4" spans="1:2">
      <c r="A4" s="5"/>
      <c r="B4" s="59" t="s">
        <v>6</v>
      </c>
    </row>
    <row r="5" spans="1:2" hidden="1"/>
    <row r="6" spans="1:2" ht="38.25" hidden="1" customHeight="1">
      <c r="A6" s="4" t="s">
        <v>8</v>
      </c>
    </row>
    <row r="7" spans="1:2" ht="42.75" hidden="1" customHeight="1"/>
    <row r="8" spans="1:2" ht="35.25" hidden="1" customHeight="1">
      <c r="B8">
        <f>B2/10000</f>
        <v>0</v>
      </c>
    </row>
    <row r="9" spans="1:2" hidden="1">
      <c r="B9">
        <f>TRUNC(B8)</f>
        <v>0</v>
      </c>
    </row>
    <row r="10" spans="1:2" hidden="1">
      <c r="B10">
        <f>B2/1000</f>
        <v>0</v>
      </c>
    </row>
    <row r="11" spans="1:2" hidden="1">
      <c r="B11">
        <f>TRUNC(B10)</f>
        <v>0</v>
      </c>
    </row>
    <row r="12" spans="1:2" hidden="1">
      <c r="B12">
        <f>B11-(B9*10)</f>
        <v>0</v>
      </c>
    </row>
    <row r="13" spans="1:2" hidden="1">
      <c r="B13">
        <f>B2/100</f>
        <v>0</v>
      </c>
    </row>
    <row r="14" spans="1:2" hidden="1">
      <c r="B14">
        <f>TRUNC(B13)</f>
        <v>0</v>
      </c>
    </row>
    <row r="15" spans="1:2" hidden="1">
      <c r="B15">
        <f>B14-(B11*10)</f>
        <v>0</v>
      </c>
    </row>
    <row r="16" spans="1:2" hidden="1">
      <c r="B16">
        <f>B2/10</f>
        <v>0</v>
      </c>
    </row>
    <row r="17" spans="1:3" hidden="1">
      <c r="B17">
        <f>TRUNC(B16)</f>
        <v>0</v>
      </c>
    </row>
    <row r="18" spans="1:3" hidden="1">
      <c r="B18">
        <f>B17-(B14*10)</f>
        <v>0</v>
      </c>
    </row>
    <row r="19" spans="1:3" hidden="1">
      <c r="B19">
        <f>B2</f>
        <v>0</v>
      </c>
    </row>
    <row r="20" spans="1:3" hidden="1">
      <c r="B20">
        <f>TRUNC(B19)</f>
        <v>0</v>
      </c>
    </row>
    <row r="21" spans="1:3" hidden="1">
      <c r="B21">
        <f>B20-(B17*10)</f>
        <v>0</v>
      </c>
    </row>
    <row r="22" spans="1:3" hidden="1"/>
    <row r="23" spans="1:3" hidden="1">
      <c r="B23">
        <f>B9+B12+B15+B18+B21</f>
        <v>0</v>
      </c>
    </row>
    <row r="24" spans="1:3" hidden="1"/>
    <row r="25" spans="1:3" hidden="1"/>
    <row r="26" spans="1:3" hidden="1">
      <c r="A26">
        <v>1</v>
      </c>
      <c r="B26">
        <v>6</v>
      </c>
      <c r="C26">
        <f t="shared" ref="C26:C70" si="0">IF(A26=$B$23,B26,0)</f>
        <v>0</v>
      </c>
    </row>
    <row r="27" spans="1:3" hidden="1">
      <c r="A27">
        <v>2</v>
      </c>
      <c r="B27">
        <v>8</v>
      </c>
      <c r="C27">
        <f t="shared" si="0"/>
        <v>0</v>
      </c>
    </row>
    <row r="28" spans="1:3" hidden="1">
      <c r="A28">
        <v>3</v>
      </c>
      <c r="B28">
        <v>3</v>
      </c>
      <c r="C28">
        <f t="shared" si="0"/>
        <v>0</v>
      </c>
    </row>
    <row r="29" spans="1:3" hidden="1">
      <c r="A29">
        <v>4</v>
      </c>
      <c r="B29">
        <v>4</v>
      </c>
      <c r="C29">
        <f t="shared" si="0"/>
        <v>0</v>
      </c>
    </row>
    <row r="30" spans="1:3" hidden="1">
      <c r="A30">
        <v>5</v>
      </c>
      <c r="B30">
        <v>9</v>
      </c>
      <c r="C30">
        <f t="shared" si="0"/>
        <v>0</v>
      </c>
    </row>
    <row r="31" spans="1:3" hidden="1">
      <c r="A31">
        <v>6</v>
      </c>
      <c r="B31">
        <v>1</v>
      </c>
      <c r="C31">
        <f t="shared" si="0"/>
        <v>0</v>
      </c>
    </row>
    <row r="32" spans="1:3" hidden="1">
      <c r="A32">
        <v>7</v>
      </c>
      <c r="B32">
        <v>2</v>
      </c>
      <c r="C32">
        <f t="shared" si="0"/>
        <v>0</v>
      </c>
    </row>
    <row r="33" spans="1:3" hidden="1">
      <c r="A33">
        <v>8</v>
      </c>
      <c r="B33">
        <v>3</v>
      </c>
      <c r="C33">
        <f t="shared" si="0"/>
        <v>0</v>
      </c>
    </row>
    <row r="34" spans="1:3" hidden="1">
      <c r="A34">
        <v>9</v>
      </c>
      <c r="B34">
        <v>5</v>
      </c>
      <c r="C34">
        <f t="shared" si="0"/>
        <v>0</v>
      </c>
    </row>
    <row r="35" spans="1:3" hidden="1">
      <c r="A35">
        <v>10</v>
      </c>
      <c r="B35">
        <v>7</v>
      </c>
      <c r="C35">
        <f t="shared" si="0"/>
        <v>0</v>
      </c>
    </row>
    <row r="36" spans="1:3" hidden="1">
      <c r="A36">
        <v>11</v>
      </c>
      <c r="B36">
        <v>9</v>
      </c>
      <c r="C36">
        <f t="shared" si="0"/>
        <v>0</v>
      </c>
    </row>
    <row r="37" spans="1:3" hidden="1">
      <c r="A37">
        <v>12</v>
      </c>
      <c r="B37">
        <v>6</v>
      </c>
      <c r="C37">
        <f t="shared" si="0"/>
        <v>0</v>
      </c>
    </row>
    <row r="38" spans="1:3" hidden="1">
      <c r="A38">
        <v>13</v>
      </c>
      <c r="B38">
        <v>6</v>
      </c>
      <c r="C38">
        <f t="shared" si="0"/>
        <v>0</v>
      </c>
    </row>
    <row r="39" spans="1:3" hidden="1">
      <c r="A39">
        <v>14</v>
      </c>
      <c r="B39">
        <v>4</v>
      </c>
      <c r="C39">
        <f t="shared" si="0"/>
        <v>0</v>
      </c>
    </row>
    <row r="40" spans="1:3" hidden="1">
      <c r="A40">
        <v>15</v>
      </c>
      <c r="B40">
        <v>3</v>
      </c>
      <c r="C40">
        <f t="shared" si="0"/>
        <v>0</v>
      </c>
    </row>
    <row r="41" spans="1:3" hidden="1">
      <c r="A41">
        <v>16</v>
      </c>
      <c r="B41">
        <v>2</v>
      </c>
      <c r="C41">
        <f t="shared" si="0"/>
        <v>0</v>
      </c>
    </row>
    <row r="42" spans="1:3" hidden="1">
      <c r="A42">
        <v>17</v>
      </c>
      <c r="B42">
        <v>6</v>
      </c>
      <c r="C42">
        <f t="shared" si="0"/>
        <v>0</v>
      </c>
    </row>
    <row r="43" spans="1:3" hidden="1">
      <c r="A43">
        <v>18</v>
      </c>
      <c r="B43">
        <v>2</v>
      </c>
      <c r="C43">
        <f t="shared" si="0"/>
        <v>0</v>
      </c>
    </row>
    <row r="44" spans="1:3" hidden="1">
      <c r="A44">
        <v>19</v>
      </c>
      <c r="B44">
        <v>1</v>
      </c>
      <c r="C44">
        <f t="shared" si="0"/>
        <v>0</v>
      </c>
    </row>
    <row r="45" spans="1:3" hidden="1">
      <c r="A45">
        <v>20</v>
      </c>
      <c r="B45">
        <v>1</v>
      </c>
      <c r="C45">
        <f t="shared" si="0"/>
        <v>0</v>
      </c>
    </row>
    <row r="46" spans="1:3" hidden="1">
      <c r="A46">
        <v>21</v>
      </c>
      <c r="B46">
        <v>7</v>
      </c>
      <c r="C46">
        <f t="shared" si="0"/>
        <v>0</v>
      </c>
    </row>
    <row r="47" spans="1:3" hidden="1">
      <c r="A47">
        <v>22</v>
      </c>
      <c r="B47">
        <v>9</v>
      </c>
      <c r="C47">
        <f t="shared" si="0"/>
        <v>0</v>
      </c>
    </row>
    <row r="48" spans="1:3" hidden="1">
      <c r="A48">
        <v>23</v>
      </c>
      <c r="B48">
        <v>8</v>
      </c>
      <c r="C48">
        <f t="shared" si="0"/>
        <v>0</v>
      </c>
    </row>
    <row r="49" spans="1:3" hidden="1">
      <c r="A49">
        <v>24</v>
      </c>
      <c r="B49">
        <v>7</v>
      </c>
      <c r="C49">
        <f t="shared" si="0"/>
        <v>0</v>
      </c>
    </row>
    <row r="50" spans="1:3" hidden="1">
      <c r="A50">
        <v>25</v>
      </c>
      <c r="B50">
        <v>3</v>
      </c>
      <c r="C50">
        <f t="shared" si="0"/>
        <v>0</v>
      </c>
    </row>
    <row r="51" spans="1:3" hidden="1">
      <c r="A51">
        <v>26</v>
      </c>
      <c r="B51">
        <v>6</v>
      </c>
      <c r="C51">
        <f t="shared" si="0"/>
        <v>0</v>
      </c>
    </row>
    <row r="52" spans="1:3" hidden="1">
      <c r="A52">
        <v>27</v>
      </c>
      <c r="B52">
        <v>1</v>
      </c>
      <c r="C52">
        <f t="shared" si="0"/>
        <v>0</v>
      </c>
    </row>
    <row r="53" spans="1:3" hidden="1">
      <c r="A53">
        <v>28</v>
      </c>
      <c r="B53">
        <v>2</v>
      </c>
      <c r="C53">
        <f t="shared" si="0"/>
        <v>0</v>
      </c>
    </row>
    <row r="54" spans="1:3" hidden="1">
      <c r="A54">
        <v>29</v>
      </c>
      <c r="B54">
        <v>3</v>
      </c>
      <c r="C54">
        <f t="shared" si="0"/>
        <v>0</v>
      </c>
    </row>
    <row r="55" spans="1:3" hidden="1">
      <c r="A55">
        <v>30</v>
      </c>
      <c r="B55">
        <v>4</v>
      </c>
      <c r="C55">
        <f t="shared" si="0"/>
        <v>0</v>
      </c>
    </row>
    <row r="56" spans="1:3" hidden="1">
      <c r="A56">
        <v>31</v>
      </c>
      <c r="B56">
        <v>5</v>
      </c>
      <c r="C56">
        <f t="shared" si="0"/>
        <v>0</v>
      </c>
    </row>
    <row r="57" spans="1:3" hidden="1">
      <c r="A57">
        <v>32</v>
      </c>
      <c r="B57">
        <v>7</v>
      </c>
      <c r="C57">
        <f t="shared" si="0"/>
        <v>0</v>
      </c>
    </row>
    <row r="58" spans="1:3" hidden="1">
      <c r="A58">
        <v>33</v>
      </c>
      <c r="B58">
        <v>8</v>
      </c>
      <c r="C58">
        <f t="shared" si="0"/>
        <v>0</v>
      </c>
    </row>
    <row r="59" spans="1:3" hidden="1">
      <c r="A59">
        <v>34</v>
      </c>
      <c r="B59">
        <v>9</v>
      </c>
      <c r="C59">
        <f t="shared" si="0"/>
        <v>0</v>
      </c>
    </row>
    <row r="60" spans="1:3" hidden="1">
      <c r="A60">
        <v>35</v>
      </c>
      <c r="B60">
        <v>5</v>
      </c>
      <c r="C60">
        <f t="shared" si="0"/>
        <v>0</v>
      </c>
    </row>
    <row r="61" spans="1:3" hidden="1">
      <c r="A61">
        <v>36</v>
      </c>
      <c r="B61">
        <v>3</v>
      </c>
      <c r="C61">
        <f t="shared" si="0"/>
        <v>0</v>
      </c>
    </row>
    <row r="62" spans="1:3" hidden="1">
      <c r="A62">
        <v>37</v>
      </c>
      <c r="B62">
        <v>5</v>
      </c>
      <c r="C62">
        <f t="shared" si="0"/>
        <v>0</v>
      </c>
    </row>
    <row r="63" spans="1:3" hidden="1">
      <c r="A63">
        <v>38</v>
      </c>
      <c r="B63">
        <v>7</v>
      </c>
      <c r="C63">
        <f t="shared" si="0"/>
        <v>0</v>
      </c>
    </row>
    <row r="64" spans="1:3" hidden="1">
      <c r="A64">
        <v>39</v>
      </c>
      <c r="B64">
        <v>3</v>
      </c>
      <c r="C64">
        <f t="shared" si="0"/>
        <v>0</v>
      </c>
    </row>
    <row r="65" spans="1:9" hidden="1">
      <c r="A65">
        <v>40</v>
      </c>
      <c r="B65">
        <v>6</v>
      </c>
      <c r="C65">
        <f t="shared" si="0"/>
        <v>0</v>
      </c>
    </row>
    <row r="66" spans="1:9" hidden="1">
      <c r="A66">
        <v>41</v>
      </c>
      <c r="B66">
        <v>7</v>
      </c>
      <c r="C66">
        <f t="shared" si="0"/>
        <v>0</v>
      </c>
    </row>
    <row r="67" spans="1:9" hidden="1">
      <c r="A67">
        <v>42</v>
      </c>
      <c r="B67">
        <v>8</v>
      </c>
      <c r="C67">
        <f t="shared" si="0"/>
        <v>0</v>
      </c>
    </row>
    <row r="68" spans="1:9" hidden="1">
      <c r="A68">
        <v>43</v>
      </c>
      <c r="B68">
        <v>2</v>
      </c>
      <c r="C68">
        <f t="shared" si="0"/>
        <v>0</v>
      </c>
    </row>
    <row r="69" spans="1:9" hidden="1">
      <c r="A69">
        <v>44</v>
      </c>
      <c r="B69">
        <v>5</v>
      </c>
      <c r="C69">
        <f t="shared" si="0"/>
        <v>0</v>
      </c>
    </row>
    <row r="70" spans="1:9" hidden="1">
      <c r="A70">
        <v>45</v>
      </c>
      <c r="B70">
        <v>7</v>
      </c>
      <c r="C70">
        <f t="shared" si="0"/>
        <v>0</v>
      </c>
    </row>
    <row r="71" spans="1:9" hidden="1">
      <c r="A71" s="31" t="s">
        <v>13</v>
      </c>
      <c r="C71" s="3">
        <f>SUM(C26:C70)</f>
        <v>0</v>
      </c>
      <c r="D71" s="3">
        <f>B23</f>
        <v>0</v>
      </c>
      <c r="E71" s="3">
        <f>B14</f>
        <v>0</v>
      </c>
      <c r="F71" s="3">
        <f>B17</f>
        <v>0</v>
      </c>
      <c r="G71" s="3">
        <f>B19</f>
        <v>0</v>
      </c>
      <c r="H71" s="3" t="e">
        <f>G71/C71</f>
        <v>#DIV/0!</v>
      </c>
    </row>
    <row r="72" spans="1:9" hidden="1">
      <c r="C72" s="3">
        <f>D72/9</f>
        <v>0</v>
      </c>
      <c r="D72" s="3">
        <f>D71*2.5</f>
        <v>0</v>
      </c>
      <c r="E72" s="3">
        <f>E71*2.5</f>
        <v>0</v>
      </c>
      <c r="F72" s="3">
        <f>F71*2.5</f>
        <v>0</v>
      </c>
      <c r="G72" s="3">
        <f>G71*2.5</f>
        <v>0</v>
      </c>
      <c r="H72" s="3" t="e">
        <f>H71*2.5</f>
        <v>#DIV/0!</v>
      </c>
    </row>
    <row r="73" spans="1:9" hidden="1">
      <c r="C73" s="3">
        <f>(C72+C71)/2</f>
        <v>0</v>
      </c>
      <c r="D73" s="3">
        <f>$C$73*D71</f>
        <v>0</v>
      </c>
      <c r="E73" s="3">
        <f>$C$73*E71</f>
        <v>0</v>
      </c>
      <c r="F73" s="3">
        <f>$C$73*F71</f>
        <v>0</v>
      </c>
      <c r="G73" s="3">
        <f>$C$73*G71</f>
        <v>0</v>
      </c>
      <c r="H73" s="3" t="e">
        <f>$C$73*H71</f>
        <v>#DIV/0!</v>
      </c>
    </row>
    <row r="74" spans="1:9" hidden="1">
      <c r="C74" s="3">
        <f>SUM(C72:C73)</f>
        <v>0</v>
      </c>
      <c r="D74" s="3">
        <f>$C$74*C71</f>
        <v>0</v>
      </c>
      <c r="E74" s="3">
        <f>$C$74*D71</f>
        <v>0</v>
      </c>
      <c r="F74" s="3">
        <f>$C$74*E71</f>
        <v>0</v>
      </c>
      <c r="G74" s="3">
        <f>$C$74*F71</f>
        <v>0</v>
      </c>
      <c r="H74" s="3">
        <f>$C$74*G71</f>
        <v>0</v>
      </c>
    </row>
    <row r="75" spans="1:9" hidden="1">
      <c r="C75" s="2"/>
      <c r="D75" s="2"/>
      <c r="E75" s="2"/>
      <c r="F75" s="2"/>
      <c r="G75" s="2"/>
      <c r="H75" s="2"/>
      <c r="I75" s="1"/>
    </row>
    <row r="76" spans="1:9" hidden="1">
      <c r="C76" s="2"/>
      <c r="D76" s="2"/>
      <c r="E76" s="2"/>
      <c r="F76" s="2"/>
      <c r="G76" s="2"/>
      <c r="H76" s="2"/>
      <c r="I76" s="1"/>
    </row>
    <row r="77" spans="1:9" hidden="1">
      <c r="C77" s="2"/>
      <c r="D77" s="2"/>
      <c r="E77" s="2"/>
      <c r="F77" s="2"/>
      <c r="G77" s="2"/>
      <c r="H77" s="2"/>
      <c r="I77" s="1"/>
    </row>
    <row r="78" spans="1:9" hidden="1">
      <c r="C78" s="2"/>
      <c r="D78" s="2"/>
      <c r="E78" s="2"/>
      <c r="F78" s="2"/>
      <c r="G78" s="2"/>
      <c r="H78" s="2"/>
      <c r="I78" s="1"/>
    </row>
    <row r="79" spans="1:9" hidden="1">
      <c r="C79" s="2"/>
      <c r="D79" s="2"/>
      <c r="E79" s="2"/>
      <c r="F79" s="2"/>
      <c r="G79" s="2"/>
      <c r="H79" s="2"/>
      <c r="I79" s="1"/>
    </row>
    <row r="80" spans="1:9" hidden="1">
      <c r="C80" s="2"/>
      <c r="D80" s="2"/>
      <c r="E80" s="2"/>
      <c r="F80" s="2"/>
      <c r="G80" s="2"/>
      <c r="H80" s="2"/>
      <c r="I80" s="1"/>
    </row>
    <row r="81" spans="3:9" hidden="1">
      <c r="C81" s="1"/>
      <c r="D81" s="1"/>
      <c r="E81" s="1"/>
      <c r="F81" s="1"/>
      <c r="G81" s="1"/>
      <c r="H81" s="1"/>
      <c r="I81" s="1"/>
    </row>
    <row r="82" spans="3:9" hidden="1">
      <c r="C82" s="1"/>
      <c r="D82" s="1"/>
      <c r="E82" s="1"/>
      <c r="F82" s="1"/>
      <c r="G82" s="1"/>
      <c r="H82" s="1"/>
      <c r="I82" s="1"/>
    </row>
  </sheetData>
  <sheetProtection algorithmName="SHA-512" hashValue="ra/lyxNkKvvUy/+yQdl0ZnSdbc2ef9PIcyXq6YComyqSV/XcQ0iFDO+tOXgZVU5cVo8qbCp9mu2cRZHsWh72Xw==" saltValue="jaq5elrj+CC8r+dN28YRTQ==" spinCount="100000" sheet="1" objects="1" scenarios="1" selectLockedCells="1"/>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E76"/>
  <sheetViews>
    <sheetView showGridLines="0" zoomScaleNormal="100" workbookViewId="0">
      <selection activeCell="G24" sqref="G24"/>
    </sheetView>
  </sheetViews>
  <sheetFormatPr defaultColWidth="0" defaultRowHeight="12.75" zeroHeight="1"/>
  <cols>
    <col min="1" max="1" width="8" style="10" customWidth="1"/>
    <col min="2" max="2" width="62.140625" style="10" customWidth="1"/>
    <col min="3" max="3" width="3.7109375" style="10" customWidth="1"/>
    <col min="4" max="4" width="13" style="10" customWidth="1"/>
    <col min="5" max="5" width="3.7109375" style="10" customWidth="1"/>
    <col min="6" max="6" width="13" style="10" customWidth="1"/>
    <col min="7" max="7" width="4.28515625" style="10" customWidth="1"/>
    <col min="8" max="10" width="8.85546875" style="10" hidden="1"/>
    <col min="11" max="11" width="23.7109375" style="10" hidden="1"/>
    <col min="12" max="13" width="8.85546875" style="10" hidden="1"/>
    <col min="14" max="14" width="13.5703125" style="10" hidden="1"/>
    <col min="15" max="15" width="8.85546875" style="10" hidden="1"/>
    <col min="16" max="16" width="58.28515625" style="10" hidden="1"/>
    <col min="17" max="18" width="8.85546875" style="10" hidden="1"/>
    <col min="19" max="19" width="18" style="10" hidden="1"/>
    <col min="20" max="20" width="13.85546875" style="10" hidden="1"/>
    <col min="21" max="21" width="8.85546875" style="10" hidden="1"/>
    <col min="22" max="22" width="13.28515625" style="10" hidden="1"/>
    <col min="23" max="23" width="14.42578125" style="10" hidden="1"/>
    <col min="24" max="24" width="12.5703125" style="10" hidden="1"/>
    <col min="25" max="25" width="15.42578125" style="10" hidden="1"/>
    <col min="26" max="26" width="15" style="10" hidden="1"/>
    <col min="27" max="27" width="8.85546875" style="10" hidden="1"/>
    <col min="28" max="28" width="12.5703125" style="10" hidden="1"/>
    <col min="29" max="29" width="14.85546875" style="10" hidden="1"/>
    <col min="30" max="30" width="15.140625" style="10" hidden="1"/>
    <col min="31" max="31" width="86.5703125" style="10" hidden="1"/>
    <col min="32" max="50" width="8.85546875" style="10" hidden="1"/>
    <col min="51" max="51" width="19.7109375" style="10" hidden="1"/>
    <col min="52" max="52" width="8.85546875" style="10" hidden="1"/>
    <col min="53" max="53" width="12.140625" style="10" hidden="1"/>
    <col min="54" max="54" width="17.7109375" style="10" hidden="1"/>
    <col min="55" max="55" width="11.140625" style="10" hidden="1"/>
    <col min="56" max="56" width="15" style="10" hidden="1"/>
    <col min="57" max="57" width="81.7109375" style="10" hidden="1"/>
    <col min="58" max="78" width="8.85546875" style="10" hidden="1"/>
    <col min="79" max="79" width="126.42578125" style="10" hidden="1"/>
    <col min="80" max="104" width="8.85546875" style="10" hidden="1"/>
    <col min="105" max="105" width="85.7109375" style="10" hidden="1"/>
    <col min="106" max="16384" width="8.85546875" style="10" hidden="1"/>
  </cols>
  <sheetData>
    <row r="1" spans="1:109"/>
    <row r="2" spans="1:109" s="32" customFormat="1" ht="61.5" customHeight="1">
      <c r="A2" s="63" t="str">
        <f>CONCATENATE(Identification!B1&amp;" is a "&amp; N2 &amp; " offering services to a variety of clients.  The following information is needed to record end-of-year adjusting entries.  The company only records adjustments at year end.")</f>
        <v>Enter Name is a fishing guide offering services to a variety of clients.  The following information is needed to record end-of-year adjusting entries.  The company only records adjustments at year end.</v>
      </c>
      <c r="B2" s="63"/>
      <c r="C2" s="63"/>
      <c r="D2" s="63"/>
      <c r="E2" s="63"/>
      <c r="F2" s="63"/>
      <c r="G2" s="42"/>
      <c r="H2" s="42"/>
      <c r="I2" s="42"/>
      <c r="J2" s="42"/>
      <c r="K2" s="42" t="s">
        <v>15</v>
      </c>
      <c r="L2" s="42">
        <f>IF($N$28&lt;3,1,0)</f>
        <v>1</v>
      </c>
      <c r="M2" s="43">
        <f>ROUND(V29,0)</f>
        <v>0</v>
      </c>
      <c r="N2" s="42" t="str">
        <f>IF(L2=1,K2,IF(L4=1,K4,IF(L11=1,K11,IF(L18=1,K18,IF(L19=1,K19,IF(L20=1,K20,""))))))</f>
        <v>fishing guide</v>
      </c>
      <c r="O2" s="42"/>
      <c r="P2" s="44" t="str">
        <f>CONCATENATE(Identification!$B$1&amp;" Company has a boat.  The asset records indicate that annual depreciation is "&amp;Y29&amp;".")</f>
        <v>Enter Name Company has a boat.  The asset records indicate that annual depreciation is $.</v>
      </c>
      <c r="Q2" s="42"/>
      <c r="R2" s="42"/>
      <c r="S2" s="42" t="str">
        <f>IF(L2=1,P2,IF(L4=1,P4,IF(L11=1,P11,IF(L18=1,P18,IF(L19=1,P19,IF(L20=1,P20,""))))))</f>
        <v>Enter Name Company has a boat.  The asset records indicate that annual depreciation is $.</v>
      </c>
      <c r="T2" s="42"/>
      <c r="U2" s="42"/>
      <c r="V2" s="42"/>
      <c r="W2" s="42"/>
      <c r="X2" s="42"/>
      <c r="Y2" s="42"/>
      <c r="Z2" s="45">
        <f>AA2*AB2</f>
        <v>0</v>
      </c>
      <c r="AA2" s="42">
        <f>IF($N$28&lt;3,1,0)</f>
        <v>1</v>
      </c>
      <c r="AB2" s="43">
        <f>ROUND(V29*2.5,0)</f>
        <v>0</v>
      </c>
      <c r="AC2" s="42" t="str">
        <f>TEXT(AB2, "$#,###,###")</f>
        <v>$</v>
      </c>
      <c r="AD2" s="46">
        <f>AB2*0.75</f>
        <v>0</v>
      </c>
      <c r="AE2" s="44" t="str">
        <f>CONCATENATE("During the current year some clients began prepaying for future services.  Total collections under prepayment plans were "&amp;AC2&amp;", of which 75% had been earned by the end of the year.")</f>
        <v>During the current year some clients began prepaying for future services.  Total collections under prepayment plans were $, of which 75% had been earned by the end of the year.</v>
      </c>
      <c r="AF2" s="42" t="str">
        <f>IF(AA2=1,AE2,IF(AA4=1,AE4,IF(AA11=1,AE11,IF(AA18=1,AE18,IF(AA19=1,AE19,IF(AA20=1,AE20,""))))))</f>
        <v>During the current year some clients began prepaying for future services.  Total collections under prepayment plans were $, of which 75% had been earned by the end of the year.</v>
      </c>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3">
        <f>ROUND(V28/7,0)</f>
        <v>0</v>
      </c>
      <c r="BY2" s="42" t="str">
        <f>TEXT(BX2, "$#,###,###")</f>
        <v>$</v>
      </c>
      <c r="BZ2" s="42">
        <f>IF($N$28&lt;3,1,0)</f>
        <v>1</v>
      </c>
      <c r="CA2" s="44" t="str">
        <f>CONCATENATE(Identification!$B$1&amp;" purchased an annual insurance policy on October 1 for "&amp;BY2&amp;".  On October 1, the policy was initially recorded as prepaid insurance.")</f>
        <v>Enter Name purchased an annual insurance policy on October 1 for $.  On October 1, the policy was initially recorded as prepaid insurance.</v>
      </c>
      <c r="CB2" s="42"/>
      <c r="CC2" s="42"/>
      <c r="CD2" s="42"/>
      <c r="CE2" s="32" t="str">
        <f>IF(BZ2=1,CA2,IF(BZ4=1,CA4,IF(BZ11=1,CA11,IF(BZ18=1,CA18,IF(BZ19=1,CA19,IF(BZ20=1,CA20,""))))))</f>
        <v>Enter Name purchased an annual insurance policy on October 1 for $.  On October 1, the policy was initially recorded as prepaid insurance.</v>
      </c>
      <c r="CW2" s="58">
        <f>90000*CZ2</f>
        <v>90000</v>
      </c>
      <c r="CX2" s="36">
        <v>25000</v>
      </c>
      <c r="CY2" s="32" t="str">
        <f>TEXT(CX2, "$#,###,###")</f>
        <v>$25,000</v>
      </c>
      <c r="CZ2" s="32">
        <f>IF($N$28&lt;3,1,0)</f>
        <v>1</v>
      </c>
      <c r="DA2" s="35" t="str">
        <f>CONCATENATE("The company began the year with $40,000 of supplies inventory, purchased an additional $75,000 (which was recored as Supplies), and ended the year with "&amp;CY2&amp;".")</f>
        <v>The company began the year with $40,000 of supplies inventory, purchased an additional $75,000 (which was recored as Supplies), and ended the year with $25,000.</v>
      </c>
      <c r="DE2" s="32" t="str">
        <f>IF(CZ2=1,DA2,IF(CZ4=1,DA4,IF(CZ11=1,DA11,IF(CZ18=1,DA18,IF(CZ19=1,DA19,IF(CZ20=1,DA20,""))))))</f>
        <v>The company began the year with $40,000 of supplies inventory, purchased an additional $75,000 (which was recored as Supplies), and ended the year with $25,000.</v>
      </c>
    </row>
    <row r="3" spans="1:109" s="32" customFormat="1" ht="60.75" customHeight="1">
      <c r="A3" s="63" t="s">
        <v>22</v>
      </c>
      <c r="B3" s="63"/>
      <c r="C3" s="63"/>
      <c r="D3" s="63"/>
      <c r="E3" s="63"/>
      <c r="F3" s="63"/>
      <c r="G3" s="42"/>
      <c r="H3" s="42"/>
      <c r="I3" s="42"/>
      <c r="J3" s="42"/>
      <c r="K3" s="42"/>
      <c r="L3" s="42"/>
      <c r="M3" s="47"/>
      <c r="N3" s="42"/>
      <c r="O3" s="42"/>
      <c r="P3" s="44"/>
      <c r="Q3" s="42"/>
      <c r="R3" s="42"/>
      <c r="S3" s="48">
        <v>0</v>
      </c>
      <c r="T3" s="46">
        <f>S3</f>
        <v>0</v>
      </c>
      <c r="U3" s="42"/>
      <c r="V3" s="42"/>
      <c r="W3" s="42"/>
      <c r="X3" s="42"/>
      <c r="Y3" s="42"/>
      <c r="Z3" s="42"/>
      <c r="AA3" s="42"/>
      <c r="AB3" s="47"/>
      <c r="AC3" s="42"/>
      <c r="AD3" s="42"/>
      <c r="AE3" s="44"/>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9"/>
      <c r="BF3" s="42"/>
      <c r="BG3" s="42"/>
      <c r="BH3" s="42"/>
      <c r="BI3" s="42"/>
      <c r="BJ3" s="42"/>
      <c r="BK3" s="42"/>
      <c r="BL3" s="42"/>
      <c r="BM3" s="42"/>
      <c r="BN3" s="42"/>
      <c r="BO3" s="42"/>
      <c r="BP3" s="42"/>
      <c r="BQ3" s="42"/>
      <c r="BR3" s="42"/>
      <c r="BS3" s="42"/>
      <c r="BT3" s="42"/>
      <c r="BU3" s="42"/>
      <c r="BV3" s="42"/>
      <c r="BW3" s="42"/>
      <c r="BX3" s="47"/>
      <c r="BY3" s="42"/>
      <c r="BZ3" s="42"/>
      <c r="CA3" s="42"/>
      <c r="CB3" s="42"/>
      <c r="CC3" s="42"/>
      <c r="CD3" s="42"/>
      <c r="CE3" s="32">
        <v>0</v>
      </c>
      <c r="CX3" s="37"/>
    </row>
    <row r="4" spans="1:109" s="32" customFormat="1" ht="41.25" customHeight="1">
      <c r="A4" s="50" t="s">
        <v>5</v>
      </c>
      <c r="B4" s="64" t="str">
        <f>S2</f>
        <v>Enter Name Company has a boat.  The asset records indicate that annual depreciation is $.</v>
      </c>
      <c r="C4" s="64"/>
      <c r="D4" s="64"/>
      <c r="E4" s="64"/>
      <c r="F4" s="64"/>
      <c r="G4" s="42"/>
      <c r="H4" s="42"/>
      <c r="I4" s="42"/>
      <c r="J4" s="42"/>
      <c r="K4" s="42" t="s">
        <v>14</v>
      </c>
      <c r="L4" s="42">
        <f>IF($N$28=3,1,IF($N$28=4,1,0))</f>
        <v>0</v>
      </c>
      <c r="M4" s="43" t="e">
        <f>ROUND(X34,0)</f>
        <v>#VALUE!</v>
      </c>
      <c r="N4" s="42"/>
      <c r="O4" s="42"/>
      <c r="P4" s="44" t="str">
        <f>CONCATENATE(Identification!$B$1&amp;" Company has a computer.  The asset records indicate that annual depreciation is "&amp;X34&amp;".")</f>
        <v>Enter Name Company has a computer.  The asset records indicate that annual depreciation is $.</v>
      </c>
      <c r="Q4" s="42"/>
      <c r="R4" s="42"/>
      <c r="S4" s="45">
        <f>M2</f>
        <v>0</v>
      </c>
      <c r="T4" s="45">
        <f>S4*L2</f>
        <v>0</v>
      </c>
      <c r="U4" s="42"/>
      <c r="V4" s="42"/>
      <c r="W4" s="42"/>
      <c r="X4" s="42"/>
      <c r="Y4" s="42"/>
      <c r="Z4" s="45" t="e">
        <f>AA4*AB4</f>
        <v>#VALUE!</v>
      </c>
      <c r="AA4" s="42">
        <f>IF($N$28=3,1,IF($N$28=4,1,0))</f>
        <v>0</v>
      </c>
      <c r="AB4" s="43" t="e">
        <f>ROUND(X34*1.75,0)</f>
        <v>#VALUE!</v>
      </c>
      <c r="AC4" s="42" t="e">
        <f>TEXT(AB4, "$#,###,###")</f>
        <v>#VALUE!</v>
      </c>
      <c r="AD4" s="46" t="e">
        <f>AB4*0.6</f>
        <v>#VALUE!</v>
      </c>
      <c r="AE4" s="44" t="e">
        <f>CONCATENATE("During the current year some clients began prepaying for future services.  Total collections under prepayment plans were "&amp;AC4&amp;", of which 60% had been earned by the end of the year.")</f>
        <v>#VALUE!</v>
      </c>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3">
        <f>BX2*2</f>
        <v>0</v>
      </c>
      <c r="BY4" s="42" t="str">
        <f>TEXT(BX4, "$#,###,###")</f>
        <v>$</v>
      </c>
      <c r="BZ4" s="42">
        <f>IF($N$28=3,1,IF($N$28=4,1,0))</f>
        <v>0</v>
      </c>
      <c r="CA4" s="44" t="str">
        <f>CONCATENATE(Identification!$B$1&amp;" purchased an annual insurance policy on October 1 for "&amp;BY4&amp;".  On October 1, the policy was initially recorded as insurance expense.")</f>
        <v>Enter Name purchased an annual insurance policy on October 1 for $.  On October 1, the policy was initially recorded as insurance expense.</v>
      </c>
      <c r="CB4" s="42"/>
      <c r="CC4" s="42"/>
      <c r="CD4" s="42"/>
      <c r="CE4" s="57">
        <f>ROUND(BX2,0)*0.75</f>
        <v>0</v>
      </c>
      <c r="CF4" s="57">
        <f>CE4*AA2</f>
        <v>0</v>
      </c>
      <c r="CQ4" s="36">
        <v>25000</v>
      </c>
      <c r="CW4" s="58">
        <f>85000*CZ4</f>
        <v>0</v>
      </c>
      <c r="CX4" s="36">
        <v>30000</v>
      </c>
      <c r="CY4" s="32" t="str">
        <f>TEXT(CX4, "$#,###,###")</f>
        <v>$30,000</v>
      </c>
      <c r="CZ4" s="32">
        <f>IF($N$28=3,1,IF($N$28=4,1,0))</f>
        <v>0</v>
      </c>
      <c r="DA4" s="35" t="str">
        <f>CONCATENATE("The company began the year with $40,000 of supplies inventory, purchased an additional $75,000 (which was recored as Supplies), and ended the year with "&amp;CY4&amp;".")</f>
        <v>The company began the year with $40,000 of supplies inventory, purchased an additional $75,000 (which was recored as Supplies), and ended the year with $30,000.</v>
      </c>
    </row>
    <row r="5" spans="1:109" s="32" customFormat="1" ht="24" customHeight="1">
      <c r="A5" s="18" t="s">
        <v>7</v>
      </c>
      <c r="B5" s="18"/>
      <c r="C5" s="18"/>
      <c r="D5" s="18"/>
      <c r="E5" s="18"/>
      <c r="F5" s="19" t="s">
        <v>6</v>
      </c>
      <c r="G5" s="42"/>
      <c r="H5" s="10"/>
      <c r="I5" s="10"/>
      <c r="J5" s="10"/>
      <c r="K5" s="17" t="s">
        <v>12</v>
      </c>
      <c r="L5" s="42"/>
      <c r="M5" s="47"/>
      <c r="N5" s="42"/>
      <c r="O5" s="42"/>
      <c r="P5" s="44"/>
      <c r="Q5" s="42"/>
      <c r="R5" s="42"/>
      <c r="S5" s="45" t="e">
        <f>M4</f>
        <v>#VALUE!</v>
      </c>
      <c r="T5" s="45" t="e">
        <f>S5*L4</f>
        <v>#VALUE!</v>
      </c>
      <c r="U5" s="42"/>
      <c r="V5" s="42"/>
      <c r="W5" s="42"/>
      <c r="X5" s="42"/>
      <c r="Y5" s="42"/>
      <c r="Z5" s="42"/>
      <c r="AA5" s="42"/>
      <c r="AB5" s="47"/>
      <c r="AC5" s="42"/>
      <c r="AD5" s="42"/>
      <c r="AE5" s="44"/>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7"/>
      <c r="BY5" s="42"/>
      <c r="BZ5" s="42"/>
      <c r="CA5" s="42"/>
      <c r="CB5" s="42"/>
      <c r="CC5" s="42"/>
      <c r="CD5" s="42"/>
      <c r="CE5" s="57">
        <f>ROUND(BX4,0)*0.75</f>
        <v>0</v>
      </c>
      <c r="CF5" s="57">
        <f>CE5*AA4</f>
        <v>0</v>
      </c>
      <c r="CX5" s="37"/>
    </row>
    <row r="6" spans="1:109" s="32" customFormat="1" ht="24" customHeight="1">
      <c r="A6" s="21" t="s">
        <v>0</v>
      </c>
      <c r="B6" s="21" t="s">
        <v>1</v>
      </c>
      <c r="C6" s="21"/>
      <c r="D6" s="21" t="s">
        <v>2</v>
      </c>
      <c r="E6" s="21"/>
      <c r="F6" s="21" t="s">
        <v>3</v>
      </c>
      <c r="G6" s="42"/>
      <c r="H6" s="20"/>
      <c r="I6" s="20"/>
      <c r="J6" s="20"/>
      <c r="K6" s="20"/>
      <c r="L6" s="42"/>
      <c r="M6" s="47"/>
      <c r="N6" s="42"/>
      <c r="O6" s="42"/>
      <c r="P6" s="44"/>
      <c r="Q6" s="42"/>
      <c r="R6" s="42"/>
      <c r="S6" s="45" t="e">
        <f>M11</f>
        <v>#VALUE!</v>
      </c>
      <c r="T6" s="45" t="e">
        <f>S6*L11</f>
        <v>#VALUE!</v>
      </c>
      <c r="U6" s="42"/>
      <c r="V6" s="42"/>
      <c r="W6" s="42"/>
      <c r="X6" s="42"/>
      <c r="Y6" s="42"/>
      <c r="Z6" s="42"/>
      <c r="AA6" s="42"/>
      <c r="AB6" s="47"/>
      <c r="AC6" s="42"/>
      <c r="AD6" s="42"/>
      <c r="AE6" s="44"/>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7"/>
      <c r="BY6" s="42"/>
      <c r="BZ6" s="42"/>
      <c r="CA6" s="42"/>
      <c r="CB6" s="42"/>
      <c r="CC6" s="42"/>
      <c r="CD6" s="42"/>
      <c r="CE6" s="57">
        <f>ROUND(BX11,0)*0.75</f>
        <v>0</v>
      </c>
      <c r="CF6" s="57">
        <f>CE6*AA11</f>
        <v>0</v>
      </c>
      <c r="CX6" s="37"/>
    </row>
    <row r="7" spans="1:109" s="32" customFormat="1" ht="24" customHeight="1">
      <c r="A7" s="22" t="s">
        <v>20</v>
      </c>
      <c r="B7" s="29"/>
      <c r="C7" s="23" t="e">
        <f>IF($I$9=1,$K$5,"")</f>
        <v>#VALUE!</v>
      </c>
      <c r="D7" s="38">
        <v>0</v>
      </c>
      <c r="E7" s="23"/>
      <c r="F7" s="24"/>
      <c r="G7" s="42"/>
      <c r="H7" s="20">
        <f>IF(B7="Depreciation Expense",1,0)</f>
        <v>0</v>
      </c>
      <c r="I7" s="20" t="e">
        <f>IF(D7=T10,1,0)</f>
        <v>#VALUE!</v>
      </c>
      <c r="J7" s="20"/>
      <c r="K7" s="20"/>
      <c r="L7" s="42"/>
      <c r="M7" s="47"/>
      <c r="N7" s="42"/>
      <c r="O7" s="42"/>
      <c r="P7" s="44"/>
      <c r="Q7" s="42"/>
      <c r="R7" s="42"/>
      <c r="S7" s="45" t="e">
        <f>M18</f>
        <v>#VALUE!</v>
      </c>
      <c r="T7" s="45" t="e">
        <f>S7*L18</f>
        <v>#VALUE!</v>
      </c>
      <c r="U7" s="42"/>
      <c r="V7" s="42"/>
      <c r="W7" s="42"/>
      <c r="X7" s="42"/>
      <c r="Y7" s="42"/>
      <c r="Z7" s="42"/>
      <c r="AA7" s="42"/>
      <c r="AB7" s="47"/>
      <c r="AC7" s="42"/>
      <c r="AD7" s="42"/>
      <c r="AE7" s="44"/>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7"/>
      <c r="BY7" s="42"/>
      <c r="BZ7" s="42"/>
      <c r="CA7" s="42"/>
      <c r="CB7" s="42"/>
      <c r="CC7" s="42"/>
      <c r="CD7" s="42"/>
      <c r="CE7" s="57">
        <f t="shared" ref="CE7:CE8" si="0">ROUND(BX18,0)*0.75</f>
        <v>0</v>
      </c>
      <c r="CF7" s="57">
        <f>CE7*AA18</f>
        <v>0</v>
      </c>
      <c r="CX7" s="37"/>
    </row>
    <row r="8" spans="1:109" s="32" customFormat="1" ht="24" customHeight="1">
      <c r="A8" s="25"/>
      <c r="B8" s="30"/>
      <c r="C8" s="23" t="e">
        <f>C7</f>
        <v>#VALUE!</v>
      </c>
      <c r="D8" s="26"/>
      <c r="E8" s="23"/>
      <c r="F8" s="51">
        <f>D7</f>
        <v>0</v>
      </c>
      <c r="G8" s="42"/>
      <c r="H8" s="20">
        <f>IF(B8="Accumulated Depreciation",1,0)</f>
        <v>0</v>
      </c>
      <c r="I8" s="20"/>
      <c r="J8" s="20"/>
      <c r="K8" s="20"/>
      <c r="L8" s="42"/>
      <c r="M8" s="47"/>
      <c r="N8" s="42"/>
      <c r="O8" s="42"/>
      <c r="P8" s="44"/>
      <c r="Q8" s="42"/>
      <c r="R8" s="42"/>
      <c r="S8" s="45">
        <f>M19</f>
        <v>0</v>
      </c>
      <c r="T8" s="45">
        <f t="shared" ref="T8" si="1">S8*L19</f>
        <v>0</v>
      </c>
      <c r="U8" s="42"/>
      <c r="V8" s="42"/>
      <c r="W8" s="42"/>
      <c r="X8" s="42"/>
      <c r="Y8" s="42"/>
      <c r="Z8" s="42"/>
      <c r="AA8" s="42"/>
      <c r="AB8" s="47"/>
      <c r="AC8" s="42"/>
      <c r="AD8" s="42"/>
      <c r="AE8" s="44"/>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7"/>
      <c r="BY8" s="42"/>
      <c r="BZ8" s="42"/>
      <c r="CA8" s="42"/>
      <c r="CB8" s="42"/>
      <c r="CC8" s="42"/>
      <c r="CD8" s="42"/>
      <c r="CE8" s="57">
        <f t="shared" si="0"/>
        <v>0</v>
      </c>
      <c r="CF8" s="57">
        <f>CE8*AA19</f>
        <v>0</v>
      </c>
      <c r="CX8" s="37"/>
    </row>
    <row r="9" spans="1:109" s="32" customFormat="1" ht="24" customHeight="1">
      <c r="A9" s="25"/>
      <c r="B9" s="27" t="s">
        <v>6</v>
      </c>
      <c r="C9" s="27"/>
      <c r="D9" s="28"/>
      <c r="E9" s="28"/>
      <c r="F9" s="28"/>
      <c r="G9" s="42"/>
      <c r="H9" s="42"/>
      <c r="I9" s="42" t="e">
        <f>H7*H8*I7</f>
        <v>#VALUE!</v>
      </c>
      <c r="J9" s="42"/>
      <c r="K9" s="20"/>
      <c r="L9" s="42"/>
      <c r="M9" s="47"/>
      <c r="N9" s="42"/>
      <c r="O9" s="42"/>
      <c r="P9" s="44"/>
      <c r="Q9" s="42"/>
      <c r="R9" s="42"/>
      <c r="S9" s="45" t="e">
        <f>M20</f>
        <v>#VALUE!</v>
      </c>
      <c r="T9" s="45" t="e">
        <f>S9*L20</f>
        <v>#VALUE!</v>
      </c>
      <c r="U9" s="42"/>
      <c r="V9" s="42"/>
      <c r="W9" s="42"/>
      <c r="X9" s="42"/>
      <c r="Y9" s="42"/>
      <c r="Z9" s="42"/>
      <c r="AA9" s="42"/>
      <c r="AB9" s="47"/>
      <c r="AC9" s="42"/>
      <c r="AD9" s="42"/>
      <c r="AE9" s="44"/>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7"/>
      <c r="BY9" s="42"/>
      <c r="BZ9" s="42"/>
      <c r="CA9" s="42"/>
      <c r="CB9" s="42"/>
      <c r="CC9" s="42"/>
      <c r="CD9" s="42"/>
      <c r="CE9" s="57">
        <f>ROUND(BX20,0)*0.75</f>
        <v>0</v>
      </c>
      <c r="CF9" s="57">
        <f>CE9*AA20</f>
        <v>0</v>
      </c>
      <c r="CX9" s="37"/>
    </row>
    <row r="10" spans="1:109" s="32" customFormat="1" ht="24" customHeight="1">
      <c r="A10" s="17"/>
      <c r="B10" s="49"/>
      <c r="C10" s="49"/>
      <c r="D10" s="49"/>
      <c r="E10" s="49"/>
      <c r="F10" s="49"/>
      <c r="G10" s="42"/>
      <c r="H10" s="42"/>
      <c r="I10" s="42"/>
      <c r="J10" s="42"/>
      <c r="K10" s="42"/>
      <c r="L10" s="42"/>
      <c r="M10" s="47"/>
      <c r="N10" s="42"/>
      <c r="O10" s="42"/>
      <c r="P10" s="44"/>
      <c r="Q10" s="42"/>
      <c r="R10" s="42"/>
      <c r="S10" s="42"/>
      <c r="T10" s="46" t="e">
        <f>SUM(T3:T9)</f>
        <v>#VALUE!</v>
      </c>
      <c r="U10" s="42"/>
      <c r="V10" s="42"/>
      <c r="W10" s="42"/>
      <c r="X10" s="42"/>
      <c r="Y10" s="42"/>
      <c r="Z10" s="42"/>
      <c r="AA10" s="42"/>
      <c r="AB10" s="47"/>
      <c r="AC10" s="42"/>
      <c r="AD10" s="42"/>
      <c r="AE10" s="44"/>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7"/>
      <c r="BY10" s="42"/>
      <c r="BZ10" s="42"/>
      <c r="CA10" s="42"/>
      <c r="CB10" s="42"/>
      <c r="CC10" s="42"/>
      <c r="CD10" s="42"/>
      <c r="CE10" s="57"/>
      <c r="CF10" s="57">
        <f>SUM(CF4:CF9)</f>
        <v>0</v>
      </c>
      <c r="CX10" s="37"/>
    </row>
    <row r="11" spans="1:109" s="32" customFormat="1" ht="66" customHeight="1">
      <c r="A11" s="49" t="s">
        <v>4</v>
      </c>
      <c r="B11" s="49" t="str">
        <f>AF2</f>
        <v>During the current year some clients began prepaying for future services.  Total collections under prepayment plans were $, of which 75% had been earned by the end of the year.</v>
      </c>
      <c r="C11" s="49"/>
      <c r="D11" s="42"/>
      <c r="E11" s="42"/>
      <c r="F11" s="42"/>
      <c r="G11" s="42"/>
      <c r="H11" s="42"/>
      <c r="I11" s="42"/>
      <c r="J11" s="42"/>
      <c r="K11" s="42" t="s">
        <v>16</v>
      </c>
      <c r="L11" s="42">
        <f>IF($N$28=5,1,0)</f>
        <v>0</v>
      </c>
      <c r="M11" s="43" t="e">
        <f>ROUND(Y28,0)</f>
        <v>#VALUE!</v>
      </c>
      <c r="N11" s="42"/>
      <c r="O11" s="42"/>
      <c r="P11" s="44" t="str">
        <f>CONCATENATE(Identification!$B$1&amp;" Company has a horse.  The asset records indicate that annual depreciation is "&amp;Y28&amp;".")</f>
        <v>Enter Name Company has a horse.  The asset records indicate that annual depreciation is $.</v>
      </c>
      <c r="Q11" s="42"/>
      <c r="R11" s="42"/>
      <c r="S11" s="48">
        <v>0</v>
      </c>
      <c r="T11" s="46">
        <f>S11*L9</f>
        <v>0</v>
      </c>
      <c r="U11" s="42"/>
      <c r="V11" s="42"/>
      <c r="W11" s="42"/>
      <c r="X11" s="42"/>
      <c r="Y11" s="42"/>
      <c r="Z11" s="45" t="e">
        <f>AA11*AB11</f>
        <v>#VALUE!</v>
      </c>
      <c r="AA11" s="42">
        <f>IF($N$28=5,1,0)</f>
        <v>0</v>
      </c>
      <c r="AB11" s="43" t="e">
        <f>ROUND(Y28*3,0)</f>
        <v>#VALUE!</v>
      </c>
      <c r="AC11" s="42" t="e">
        <f>TEXT(AB11, "$#,###,###")</f>
        <v>#VALUE!</v>
      </c>
      <c r="AD11" s="46" t="e">
        <f>AB11*0.4</f>
        <v>#VALUE!</v>
      </c>
      <c r="AE11" s="44" t="e">
        <f>CONCATENATE("During the current year some clients began prepaying for future services.  Total collections under prepayment plans were "&amp;AC11&amp;", of which 40% had been earned by the end of the year.")</f>
        <v>#VALUE!</v>
      </c>
      <c r="AF11" s="42"/>
      <c r="AG11" s="42"/>
      <c r="AH11" s="42"/>
      <c r="AI11" s="42"/>
      <c r="AJ11" s="42"/>
      <c r="AK11" s="42"/>
      <c r="AL11" s="42"/>
      <c r="AM11" s="42"/>
      <c r="AN11" s="42"/>
      <c r="AO11" s="42"/>
      <c r="AP11" s="42"/>
      <c r="AQ11" s="42"/>
      <c r="AR11" s="42"/>
      <c r="AS11" s="42"/>
      <c r="AT11" s="42"/>
      <c r="AU11" s="42"/>
      <c r="AV11" s="42"/>
      <c r="AW11" s="42"/>
      <c r="AX11" s="42"/>
      <c r="AY11" s="42"/>
      <c r="AZ11" s="42"/>
      <c r="BA11" s="10"/>
      <c r="BB11" s="10"/>
      <c r="BC11" s="10"/>
      <c r="BD11" s="10"/>
      <c r="BE11" s="10"/>
      <c r="BF11" s="10"/>
      <c r="BG11" s="42"/>
      <c r="BH11" s="42"/>
      <c r="BI11" s="42"/>
      <c r="BJ11" s="42"/>
      <c r="BK11" s="42"/>
      <c r="BL11" s="42"/>
      <c r="BM11" s="42"/>
      <c r="BN11" s="42"/>
      <c r="BO11" s="42"/>
      <c r="BP11" s="42"/>
      <c r="BQ11" s="42"/>
      <c r="BR11" s="42"/>
      <c r="BS11" s="42"/>
      <c r="BT11" s="42"/>
      <c r="BU11" s="42"/>
      <c r="BV11" s="42"/>
      <c r="BW11" s="42"/>
      <c r="BX11" s="43">
        <f>BX4/3</f>
        <v>0</v>
      </c>
      <c r="BY11" s="42" t="str">
        <f>TEXT(BX11, "$#,###,###")</f>
        <v>$</v>
      </c>
      <c r="BZ11" s="42">
        <f>IF($N$28=5,1,0)</f>
        <v>0</v>
      </c>
      <c r="CA11" s="44" t="str">
        <f>CONCATENATE(Identification!$B$1&amp;" purchased an annual insurance policy on October 1 for "&amp;BY11&amp;".  On October 1, the policy was initially recorded as insurance expense.")</f>
        <v>Enter Name purchased an annual insurance policy on October 1 for $.  On October 1, the policy was initially recorded as insurance expense.</v>
      </c>
      <c r="CB11" s="42"/>
      <c r="CC11" s="42"/>
      <c r="CD11" s="42"/>
      <c r="CW11" s="58">
        <f>80000*CZ11</f>
        <v>0</v>
      </c>
      <c r="CX11" s="36">
        <v>35000</v>
      </c>
      <c r="CY11" s="32" t="str">
        <f>TEXT(CX11, "$#,###,###")</f>
        <v>$35,000</v>
      </c>
      <c r="CZ11" s="32">
        <f>IF($N$28=5,1,0)</f>
        <v>0</v>
      </c>
      <c r="DA11" s="35" t="str">
        <f>CONCATENATE("The company began the year with $40,000 of supplies inventory, purchased an additional $75,000 (which was recored as Supplies), and ended the year with "&amp;CY11&amp;".")</f>
        <v>The company began the year with $40,000 of supplies inventory, purchased an additional $75,000 (which was recored as Supplies), and ended the year with $35,000.</v>
      </c>
    </row>
    <row r="12" spans="1:109" s="32" customFormat="1" ht="24" customHeight="1">
      <c r="A12" s="18" t="s">
        <v>7</v>
      </c>
      <c r="B12" s="18"/>
      <c r="C12" s="18"/>
      <c r="D12" s="18"/>
      <c r="E12" s="18"/>
      <c r="F12" s="19" t="s">
        <v>6</v>
      </c>
      <c r="G12" s="42"/>
      <c r="H12" s="42"/>
      <c r="I12" s="42"/>
      <c r="J12" s="42"/>
      <c r="K12" s="46">
        <f>AD2</f>
        <v>0</v>
      </c>
      <c r="L12" s="42"/>
      <c r="M12" s="47"/>
      <c r="N12" s="42"/>
      <c r="O12" s="42"/>
      <c r="P12" s="44"/>
      <c r="Q12" s="42"/>
      <c r="R12" s="42"/>
      <c r="S12" s="48">
        <f>K12</f>
        <v>0</v>
      </c>
      <c r="T12" s="46">
        <f>S12*L2</f>
        <v>0</v>
      </c>
      <c r="U12" s="42"/>
      <c r="V12" s="42"/>
      <c r="W12" s="42"/>
      <c r="X12" s="42"/>
      <c r="Y12" s="42"/>
      <c r="Z12" s="42"/>
      <c r="AA12" s="42"/>
      <c r="AB12" s="47"/>
      <c r="AC12" s="42"/>
      <c r="AD12" s="42"/>
      <c r="AE12" s="44"/>
      <c r="AF12" s="42"/>
      <c r="AG12" s="42"/>
      <c r="AH12" s="42"/>
      <c r="AI12" s="42"/>
      <c r="AJ12" s="42"/>
      <c r="AK12" s="42"/>
      <c r="AL12" s="42"/>
      <c r="AM12" s="42"/>
      <c r="AN12" s="42"/>
      <c r="AO12" s="42"/>
      <c r="AP12" s="42"/>
      <c r="AQ12" s="42"/>
      <c r="AR12" s="42"/>
      <c r="AS12" s="42"/>
      <c r="AT12" s="42"/>
      <c r="AU12" s="42"/>
      <c r="AV12" s="42"/>
      <c r="AW12" s="42"/>
      <c r="AX12" s="42"/>
      <c r="AY12" s="46">
        <f>BA12*BD12</f>
        <v>0</v>
      </c>
      <c r="AZ12" s="45">
        <f>BA12*BB12</f>
        <v>0</v>
      </c>
      <c r="BA12" s="42">
        <f>IF($N$28&lt;3,1,0)</f>
        <v>1</v>
      </c>
      <c r="BB12" s="43">
        <f>ROUND(V33/2.5,0)</f>
        <v>0</v>
      </c>
      <c r="BC12" s="42" t="str">
        <f>TEXT(BB12, "$#,###,###")</f>
        <v>$</v>
      </c>
      <c r="BD12" s="46">
        <f>BB12/3</f>
        <v>0</v>
      </c>
      <c r="BE12" s="44" t="str">
        <f>CONCATENATE(Identification!$B$1&amp;" Company advertises in a local newspaper.  On December 1, the company prepaid "&amp;BC12&amp;" for a three-month advertising campaign that began immediately.  The prepayment was initiall recorded as prepaid advertising.")</f>
        <v>Enter Name Company advertises in a local newspaper.  On December 1, the company prepaid $ for a three-month advertising campaign that began immediately.  The prepayment was initiall recorded as prepaid advertising.</v>
      </c>
      <c r="BF12" s="42" t="str">
        <f>IF(BA12=1,BE12,IF(BA14=1,BE14,IF(BA21=1,BE21,IF(BA28=1,BE28,IF(BA29=1,BE29,IF(BA30=1,BE30,""))))))</f>
        <v>Enter Name Company advertises in a local newspaper.  On December 1, the company prepaid $ for a three-month advertising campaign that began immediately.  The prepayment was initiall recorded as prepaid advertising.</v>
      </c>
      <c r="BG12" s="42"/>
      <c r="BH12" s="42"/>
      <c r="BI12" s="42"/>
      <c r="BJ12" s="42"/>
      <c r="BK12" s="42"/>
      <c r="BL12" s="42"/>
      <c r="BM12" s="42"/>
      <c r="BN12" s="42"/>
      <c r="BO12" s="42"/>
      <c r="BP12" s="42"/>
      <c r="BQ12" s="42"/>
      <c r="BR12" s="42"/>
      <c r="BS12" s="42"/>
      <c r="BT12" s="42"/>
      <c r="BU12" s="42"/>
      <c r="BV12" s="42"/>
      <c r="BW12" s="42"/>
      <c r="BX12" s="47"/>
      <c r="BY12" s="42"/>
      <c r="BZ12" s="42"/>
      <c r="CA12" s="42"/>
      <c r="CB12" s="42"/>
      <c r="CC12" s="42"/>
      <c r="CD12" s="42"/>
      <c r="CX12" s="37"/>
    </row>
    <row r="13" spans="1:109" s="32" customFormat="1" ht="24" customHeight="1">
      <c r="A13" s="21" t="s">
        <v>0</v>
      </c>
      <c r="B13" s="21" t="s">
        <v>1</v>
      </c>
      <c r="C13" s="21"/>
      <c r="D13" s="21" t="s">
        <v>2</v>
      </c>
      <c r="E13" s="21"/>
      <c r="F13" s="21" t="s">
        <v>3</v>
      </c>
      <c r="G13" s="42"/>
      <c r="H13" s="42"/>
      <c r="I13" s="42"/>
      <c r="J13" s="42"/>
      <c r="K13" s="46" t="e">
        <f>AD4</f>
        <v>#VALUE!</v>
      </c>
      <c r="L13" s="42"/>
      <c r="M13" s="47"/>
      <c r="N13" s="42"/>
      <c r="O13" s="42"/>
      <c r="P13" s="44"/>
      <c r="Q13" s="42"/>
      <c r="R13" s="42"/>
      <c r="S13" s="46" t="e">
        <f t="shared" ref="S13:S17" si="2">K13</f>
        <v>#VALUE!</v>
      </c>
      <c r="T13" s="46" t="e">
        <f>S13*L4</f>
        <v>#VALUE!</v>
      </c>
      <c r="U13" s="42"/>
      <c r="V13" s="42"/>
      <c r="W13" s="42"/>
      <c r="X13" s="42"/>
      <c r="Y13" s="42"/>
      <c r="Z13" s="42"/>
      <c r="AA13" s="42"/>
      <c r="AB13" s="47"/>
      <c r="AC13" s="42"/>
      <c r="AD13" s="42"/>
      <c r="AE13" s="44"/>
      <c r="AF13" s="42"/>
      <c r="AG13" s="42"/>
      <c r="AH13" s="42"/>
      <c r="AI13" s="42"/>
      <c r="AJ13" s="42"/>
      <c r="AK13" s="42"/>
      <c r="AL13" s="42"/>
      <c r="AM13" s="42"/>
      <c r="AN13" s="42"/>
      <c r="AO13" s="42"/>
      <c r="AP13" s="42"/>
      <c r="AQ13" s="42"/>
      <c r="AR13" s="42"/>
      <c r="AS13" s="42"/>
      <c r="AT13" s="42"/>
      <c r="AU13" s="42"/>
      <c r="AV13" s="42"/>
      <c r="AW13" s="42"/>
      <c r="AX13" s="42"/>
      <c r="AY13" s="42"/>
      <c r="AZ13" s="42"/>
      <c r="BA13" s="42"/>
      <c r="BB13" s="47"/>
      <c r="BC13" s="42"/>
      <c r="BD13" s="42"/>
      <c r="BE13" s="44"/>
      <c r="BF13" s="42"/>
      <c r="BG13" s="42"/>
      <c r="BH13" s="42"/>
      <c r="BI13" s="42"/>
      <c r="BJ13" s="42"/>
      <c r="BK13" s="42"/>
      <c r="BL13" s="42"/>
      <c r="BM13" s="42"/>
      <c r="BN13" s="42"/>
      <c r="BO13" s="42"/>
      <c r="BP13" s="42"/>
      <c r="BQ13" s="42"/>
      <c r="BR13" s="42"/>
      <c r="BS13" s="42"/>
      <c r="BT13" s="42"/>
      <c r="BU13" s="42"/>
      <c r="BV13" s="42"/>
      <c r="BW13" s="42"/>
      <c r="BX13" s="47"/>
      <c r="BY13" s="42"/>
      <c r="BZ13" s="42"/>
      <c r="CA13" s="42"/>
      <c r="CB13" s="42"/>
      <c r="CC13" s="42"/>
      <c r="CD13" s="42"/>
      <c r="CX13" s="37"/>
    </row>
    <row r="14" spans="1:109" s="32" customFormat="1" ht="24" customHeight="1">
      <c r="A14" s="22" t="s">
        <v>20</v>
      </c>
      <c r="B14" s="29"/>
      <c r="C14" s="54" t="e">
        <f>IF($I$16=1,$K$5,"")</f>
        <v>#VALUE!</v>
      </c>
      <c r="D14" s="38">
        <v>0</v>
      </c>
      <c r="E14" s="23" t="str">
        <f>IF(L15=4,#REF!,"")</f>
        <v/>
      </c>
      <c r="F14" s="24"/>
      <c r="G14" s="42"/>
      <c r="H14" s="20">
        <f>IF(B14="Unearned Revenue",1,0)</f>
        <v>0</v>
      </c>
      <c r="I14" s="20" t="e">
        <f>IF(D14=T18,1,0)</f>
        <v>#VALUE!</v>
      </c>
      <c r="J14" s="42"/>
      <c r="K14" s="46" t="e">
        <f>AD11</f>
        <v>#VALUE!</v>
      </c>
      <c r="L14" s="42"/>
      <c r="M14" s="47"/>
      <c r="N14" s="42"/>
      <c r="O14" s="42"/>
      <c r="P14" s="44"/>
      <c r="Q14" s="42"/>
      <c r="R14" s="42"/>
      <c r="S14" s="46" t="e">
        <f t="shared" si="2"/>
        <v>#VALUE!</v>
      </c>
      <c r="T14" s="46" t="e">
        <f>S14*L11</f>
        <v>#VALUE!</v>
      </c>
      <c r="U14" s="42"/>
      <c r="V14" s="42"/>
      <c r="W14" s="42"/>
      <c r="X14" s="42"/>
      <c r="Y14" s="42"/>
      <c r="Z14" s="42"/>
      <c r="AA14" s="42"/>
      <c r="AB14" s="47"/>
      <c r="AC14" s="42"/>
      <c r="AD14" s="42"/>
      <c r="AE14" s="44"/>
      <c r="AF14" s="42"/>
      <c r="AG14" s="42"/>
      <c r="AH14" s="42"/>
      <c r="AI14" s="42"/>
      <c r="AJ14" s="42"/>
      <c r="AK14" s="42"/>
      <c r="AL14" s="42"/>
      <c r="AM14" s="42"/>
      <c r="AN14" s="42"/>
      <c r="AO14" s="42"/>
      <c r="AP14" s="42"/>
      <c r="AQ14" s="42"/>
      <c r="AR14" s="42"/>
      <c r="AS14" s="42"/>
      <c r="AT14" s="42"/>
      <c r="AU14" s="42"/>
      <c r="AV14" s="42"/>
      <c r="AW14" s="42">
        <v>0</v>
      </c>
      <c r="AX14" s="42"/>
      <c r="AY14" s="46">
        <f>BA14*BD14</f>
        <v>0</v>
      </c>
      <c r="AZ14" s="45">
        <f>BA14*BB14</f>
        <v>0</v>
      </c>
      <c r="BA14" s="42">
        <f>IF($N$28=4,1,IF($N$28=3,1,0))</f>
        <v>0</v>
      </c>
      <c r="BB14" s="43">
        <f>ROUND(V34/2.5,0)</f>
        <v>0</v>
      </c>
      <c r="BC14" s="42" t="str">
        <f>TEXT(BB14, "$#,###,###")</f>
        <v>$</v>
      </c>
      <c r="BD14" s="46">
        <f>BB14/3</f>
        <v>0</v>
      </c>
      <c r="BE14" s="44" t="str">
        <f>CONCATENATE(Identification!$B$1&amp;" Company advertises on a local radio station.  On November 1, the company prepaid "&amp;BC14&amp;" for a six-month advertising campaign that began immediately.  The prepayment was initiall recorded as prepaid advertising.")</f>
        <v>Enter Name Company advertises on a local radio station.  On November 1, the company prepaid $ for a six-month advertising campaign that began immediately.  The prepayment was initiall recorded as prepaid advertising.</v>
      </c>
      <c r="BF14" s="42"/>
      <c r="BG14" s="42"/>
      <c r="BH14" s="42"/>
      <c r="BI14" s="42"/>
      <c r="BJ14" s="42"/>
      <c r="BK14" s="42"/>
      <c r="BL14" s="42"/>
      <c r="BM14" s="42"/>
      <c r="BN14" s="42"/>
      <c r="BO14" s="42"/>
      <c r="BP14" s="42"/>
      <c r="BQ14" s="42"/>
      <c r="BR14" s="42"/>
      <c r="BS14" s="42"/>
      <c r="BT14" s="42"/>
      <c r="BU14" s="42"/>
      <c r="BV14" s="42"/>
      <c r="BW14" s="42"/>
      <c r="BX14" s="47"/>
      <c r="BY14" s="42"/>
      <c r="BZ14" s="42"/>
      <c r="CA14" s="42"/>
      <c r="CB14" s="42"/>
      <c r="CC14" s="42"/>
      <c r="CD14" s="42"/>
      <c r="CX14" s="37"/>
    </row>
    <row r="15" spans="1:109" s="32" customFormat="1" ht="24" customHeight="1">
      <c r="A15" s="25"/>
      <c r="B15" s="30"/>
      <c r="C15" s="23" t="e">
        <f>C14</f>
        <v>#VALUE!</v>
      </c>
      <c r="D15" s="26"/>
      <c r="E15" s="23" t="str">
        <f>IF(L15=4,#REF!,"")</f>
        <v/>
      </c>
      <c r="F15" s="51">
        <f>D14</f>
        <v>0</v>
      </c>
      <c r="G15" s="42"/>
      <c r="H15" s="20">
        <f>IF(B15="Revenue",1,0)</f>
        <v>0</v>
      </c>
      <c r="I15" s="42"/>
      <c r="J15" s="42"/>
      <c r="K15" s="46" t="e">
        <f>AD18</f>
        <v>#VALUE!</v>
      </c>
      <c r="L15" s="42"/>
      <c r="M15" s="47"/>
      <c r="N15" s="42"/>
      <c r="O15" s="42"/>
      <c r="P15" s="44"/>
      <c r="Q15" s="42"/>
      <c r="R15" s="42"/>
      <c r="S15" s="46" t="e">
        <f t="shared" si="2"/>
        <v>#VALUE!</v>
      </c>
      <c r="T15" s="46" t="e">
        <f>S15*L18</f>
        <v>#VALUE!</v>
      </c>
      <c r="U15" s="42"/>
      <c r="V15" s="42"/>
      <c r="W15" s="42"/>
      <c r="X15" s="42"/>
      <c r="Y15" s="42"/>
      <c r="Z15" s="42"/>
      <c r="AA15" s="42"/>
      <c r="AB15" s="47"/>
      <c r="AC15" s="42"/>
      <c r="AD15" s="42"/>
      <c r="AE15" s="44"/>
      <c r="AF15" s="42"/>
      <c r="AG15" s="42"/>
      <c r="AH15" s="42"/>
      <c r="AI15" s="42"/>
      <c r="AJ15" s="42"/>
      <c r="AK15" s="42"/>
      <c r="AL15" s="42"/>
      <c r="AM15" s="42"/>
      <c r="AN15" s="42"/>
      <c r="AO15" s="42"/>
      <c r="AP15" s="42"/>
      <c r="AQ15" s="42"/>
      <c r="AR15" s="42"/>
      <c r="AS15" s="42"/>
      <c r="AT15" s="42"/>
      <c r="AU15" s="42"/>
      <c r="AV15" s="42"/>
      <c r="AW15" s="45">
        <f>BB12</f>
        <v>0</v>
      </c>
      <c r="AX15" s="42"/>
      <c r="AY15" s="42"/>
      <c r="AZ15" s="42"/>
      <c r="BA15" s="42"/>
      <c r="BB15" s="47"/>
      <c r="BC15" s="42"/>
      <c r="BD15" s="42"/>
      <c r="BE15" s="44"/>
      <c r="BF15" s="42"/>
      <c r="BG15" s="42"/>
      <c r="BH15" s="42"/>
      <c r="BI15" s="42"/>
      <c r="BJ15" s="42"/>
      <c r="BK15" s="42"/>
      <c r="BL15" s="42"/>
      <c r="BM15" s="42"/>
      <c r="BN15" s="42"/>
      <c r="BO15" s="42"/>
      <c r="BP15" s="42"/>
      <c r="BQ15" s="42"/>
      <c r="BR15" s="42"/>
      <c r="BS15" s="42"/>
      <c r="BT15" s="42"/>
      <c r="BU15" s="42"/>
      <c r="BV15" s="42"/>
      <c r="BW15" s="42"/>
      <c r="BX15" s="47"/>
      <c r="BY15" s="42"/>
      <c r="BZ15" s="42"/>
      <c r="CA15" s="42"/>
      <c r="CB15" s="42"/>
      <c r="CC15" s="42"/>
      <c r="CD15" s="42"/>
      <c r="CX15" s="37"/>
    </row>
    <row r="16" spans="1:109" s="32" customFormat="1" ht="24" customHeight="1">
      <c r="A16" s="25"/>
      <c r="B16" s="27" t="s">
        <v>21</v>
      </c>
      <c r="C16" s="27"/>
      <c r="D16" s="28"/>
      <c r="E16" s="28"/>
      <c r="F16" s="28"/>
      <c r="G16" s="42"/>
      <c r="H16" s="42"/>
      <c r="I16" s="42" t="e">
        <f>H14*H15*I14</f>
        <v>#VALUE!</v>
      </c>
      <c r="J16" s="42"/>
      <c r="K16" s="46">
        <f t="shared" ref="K16:K17" si="3">AD19</f>
        <v>0</v>
      </c>
      <c r="L16" s="42"/>
      <c r="M16" s="47"/>
      <c r="N16" s="42"/>
      <c r="O16" s="42"/>
      <c r="P16" s="44"/>
      <c r="Q16" s="42"/>
      <c r="R16" s="42"/>
      <c r="S16" s="46">
        <f t="shared" si="2"/>
        <v>0</v>
      </c>
      <c r="T16" s="46">
        <f>S16*L19</f>
        <v>0</v>
      </c>
      <c r="U16" s="42"/>
      <c r="V16" s="42"/>
      <c r="W16" s="42"/>
      <c r="X16" s="42"/>
      <c r="Y16" s="42"/>
      <c r="Z16" s="42"/>
      <c r="AA16" s="42"/>
      <c r="AB16" s="47"/>
      <c r="AC16" s="42"/>
      <c r="AD16" s="42"/>
      <c r="AE16" s="44"/>
      <c r="AF16" s="42"/>
      <c r="AG16" s="42"/>
      <c r="AH16" s="42"/>
      <c r="AI16" s="42"/>
      <c r="AJ16" s="42"/>
      <c r="AK16" s="42"/>
      <c r="AL16" s="42"/>
      <c r="AM16" s="42"/>
      <c r="AN16" s="42"/>
      <c r="AO16" s="42"/>
      <c r="AP16" s="42"/>
      <c r="AQ16" s="42"/>
      <c r="AR16" s="42"/>
      <c r="AS16" s="42"/>
      <c r="AT16" s="42"/>
      <c r="AU16" s="42"/>
      <c r="AV16" s="42"/>
      <c r="AW16" s="45">
        <f>BB14</f>
        <v>0</v>
      </c>
      <c r="AX16" s="42"/>
      <c r="AY16" s="42"/>
      <c r="AZ16" s="42"/>
      <c r="BA16" s="42"/>
      <c r="BB16" s="47"/>
      <c r="BC16" s="42"/>
      <c r="BD16" s="42"/>
      <c r="BE16" s="44"/>
      <c r="BF16" s="42"/>
      <c r="BG16" s="42"/>
      <c r="BH16" s="42"/>
      <c r="BI16" s="42"/>
      <c r="BJ16" s="42"/>
      <c r="BK16" s="42"/>
      <c r="BL16" s="42"/>
      <c r="BM16" s="42"/>
      <c r="BN16" s="42"/>
      <c r="BO16" s="42"/>
      <c r="BP16" s="42"/>
      <c r="BQ16" s="42"/>
      <c r="BR16" s="42"/>
      <c r="BS16" s="42"/>
      <c r="BT16" s="42"/>
      <c r="BU16" s="42"/>
      <c r="BV16" s="42"/>
      <c r="BW16" s="42"/>
      <c r="BX16" s="47"/>
      <c r="BY16" s="42"/>
      <c r="BZ16" s="42"/>
      <c r="CA16" s="42"/>
      <c r="CB16" s="42"/>
      <c r="CC16" s="42"/>
      <c r="CD16" s="42"/>
      <c r="CX16" s="37"/>
    </row>
    <row r="17" spans="1:108" s="32" customFormat="1" ht="24" customHeight="1">
      <c r="A17" s="17"/>
      <c r="B17" s="49"/>
      <c r="C17" s="49"/>
      <c r="D17" s="49"/>
      <c r="E17" s="49"/>
      <c r="F17" s="49"/>
      <c r="G17" s="42"/>
      <c r="H17" s="42"/>
      <c r="I17" s="42"/>
      <c r="J17" s="42"/>
      <c r="K17" s="46" t="e">
        <f t="shared" si="3"/>
        <v>#VALUE!</v>
      </c>
      <c r="L17" s="42"/>
      <c r="M17" s="47"/>
      <c r="N17" s="42"/>
      <c r="O17" s="42"/>
      <c r="P17" s="44"/>
      <c r="Q17" s="42"/>
      <c r="R17" s="42"/>
      <c r="S17" s="46" t="e">
        <f t="shared" si="2"/>
        <v>#VALUE!</v>
      </c>
      <c r="T17" s="46" t="e">
        <f>S17*L20</f>
        <v>#VALUE!</v>
      </c>
      <c r="U17" s="42"/>
      <c r="V17" s="42"/>
      <c r="W17" s="42"/>
      <c r="X17" s="42"/>
      <c r="Y17" s="42"/>
      <c r="Z17" s="42"/>
      <c r="AA17" s="42"/>
      <c r="AB17" s="47"/>
      <c r="AC17" s="42"/>
      <c r="AD17" s="42"/>
      <c r="AE17" s="44"/>
      <c r="AF17" s="42"/>
      <c r="AG17" s="42"/>
      <c r="AH17" s="42"/>
      <c r="AI17" s="42"/>
      <c r="AJ17" s="42"/>
      <c r="AK17" s="42"/>
      <c r="AL17" s="42"/>
      <c r="AM17" s="42"/>
      <c r="AN17" s="42"/>
      <c r="AO17" s="42"/>
      <c r="AP17" s="42"/>
      <c r="AQ17" s="42"/>
      <c r="AR17" s="42"/>
      <c r="AS17" s="42"/>
      <c r="AT17" s="42"/>
      <c r="AU17" s="42"/>
      <c r="AV17" s="42"/>
      <c r="AW17" s="45">
        <f>BB21</f>
        <v>0</v>
      </c>
      <c r="AX17" s="42"/>
      <c r="AY17" s="42"/>
      <c r="AZ17" s="42"/>
      <c r="BA17" s="42"/>
      <c r="BB17" s="47"/>
      <c r="BC17" s="42"/>
      <c r="BD17" s="42"/>
      <c r="BE17" s="44"/>
      <c r="BF17" s="42"/>
      <c r="BG17" s="42"/>
      <c r="BH17" s="42"/>
      <c r="BI17" s="42"/>
      <c r="BJ17" s="42"/>
      <c r="BK17" s="42"/>
      <c r="BL17" s="42"/>
      <c r="BM17" s="42"/>
      <c r="BN17" s="42"/>
      <c r="BO17" s="42"/>
      <c r="BP17" s="42"/>
      <c r="BQ17" s="42"/>
      <c r="BR17" s="42"/>
      <c r="BS17" s="42"/>
      <c r="BT17" s="42"/>
      <c r="BU17" s="42"/>
      <c r="BV17" s="42"/>
      <c r="BW17" s="42"/>
      <c r="BX17" s="47"/>
      <c r="BY17" s="42"/>
      <c r="BZ17" s="42"/>
      <c r="CA17" s="42"/>
      <c r="CB17" s="42"/>
      <c r="CC17" s="42"/>
      <c r="CD17" s="42"/>
      <c r="CX17" s="37"/>
    </row>
    <row r="18" spans="1:108" s="32" customFormat="1" ht="74.25" customHeight="1">
      <c r="A18" s="49" t="s">
        <v>23</v>
      </c>
      <c r="B18" s="49" t="str">
        <f>BF12</f>
        <v>Enter Name Company advertises in a local newspaper.  On December 1, the company prepaid $ for a three-month advertising campaign that began immediately.  The prepayment was initiall recorded as prepaid advertising.</v>
      </c>
      <c r="C18" s="49"/>
      <c r="D18" s="42"/>
      <c r="E18" s="42"/>
      <c r="F18" s="42"/>
      <c r="G18" s="42"/>
      <c r="H18" s="42"/>
      <c r="I18" s="42"/>
      <c r="J18" s="42"/>
      <c r="K18" s="42" t="s">
        <v>17</v>
      </c>
      <c r="L18" s="42">
        <f>IF($N$28=6,1,0)</f>
        <v>0</v>
      </c>
      <c r="M18" s="43" t="e">
        <f>ROUND(X33,0)</f>
        <v>#VALUE!</v>
      </c>
      <c r="N18" s="42"/>
      <c r="O18" s="42"/>
      <c r="P18" s="44" t="str">
        <f>CONCATENATE(Identification!$B$1&amp;" Company has a desk.  The asset records indicate that annual depreciation is "&amp;X33&amp;".")</f>
        <v>Enter Name Company has a desk.  The asset records indicate that annual depreciation is $.</v>
      </c>
      <c r="Q18" s="42"/>
      <c r="R18" s="42"/>
      <c r="S18" s="42"/>
      <c r="T18" s="46" t="e">
        <f>SUM(T11:T17)</f>
        <v>#VALUE!</v>
      </c>
      <c r="U18" s="42"/>
      <c r="V18" s="42"/>
      <c r="W18" s="42"/>
      <c r="X18" s="42"/>
      <c r="Y18" s="42"/>
      <c r="Z18" s="45" t="e">
        <f>AA18*AB18</f>
        <v>#VALUE!</v>
      </c>
      <c r="AA18" s="42">
        <f>IF($N$28=6,1,0)</f>
        <v>0</v>
      </c>
      <c r="AB18" s="43" t="e">
        <f>ROUND(X33*18,0)</f>
        <v>#VALUE!</v>
      </c>
      <c r="AC18" s="42" t="e">
        <f>TEXT(AB18, "$#,###,###")</f>
        <v>#VALUE!</v>
      </c>
      <c r="AD18" s="46" t="e">
        <f>AB18*0.9</f>
        <v>#VALUE!</v>
      </c>
      <c r="AE18" s="44" t="e">
        <f>CONCATENATE("During the current year some clients began prepaying for future services.  Total collections under prepayment plans were "&amp;AC18&amp;", of which 90% had been earned by the end of the year.")</f>
        <v>#VALUE!</v>
      </c>
      <c r="AF18" s="42"/>
      <c r="AG18" s="42"/>
      <c r="AH18" s="42"/>
      <c r="AI18" s="42"/>
      <c r="AJ18" s="42"/>
      <c r="AK18" s="42"/>
      <c r="AL18" s="42"/>
      <c r="AM18" s="42"/>
      <c r="AN18" s="42"/>
      <c r="AO18" s="42"/>
      <c r="AP18" s="42"/>
      <c r="AQ18" s="42"/>
      <c r="AR18" s="42"/>
      <c r="AS18" s="42"/>
      <c r="AT18" s="42"/>
      <c r="AU18" s="42"/>
      <c r="AV18" s="42"/>
      <c r="AW18" s="45">
        <f>BB28</f>
        <v>0</v>
      </c>
      <c r="AX18" s="42"/>
      <c r="AY18" s="42"/>
      <c r="AZ18" s="42"/>
      <c r="BA18" s="42"/>
      <c r="BB18" s="47"/>
      <c r="BC18" s="42"/>
      <c r="BD18" s="42"/>
      <c r="BE18" s="44"/>
      <c r="BF18" s="42"/>
      <c r="BG18" s="42"/>
      <c r="BH18" s="42"/>
      <c r="BI18" s="42"/>
      <c r="BJ18" s="42"/>
      <c r="BK18" s="42"/>
      <c r="BL18" s="42"/>
      <c r="BM18" s="42"/>
      <c r="BN18" s="42"/>
      <c r="BO18" s="42"/>
      <c r="BP18" s="42"/>
      <c r="BQ18" s="42"/>
      <c r="BR18" s="42"/>
      <c r="BS18" s="42"/>
      <c r="BT18" s="42"/>
      <c r="BU18" s="42"/>
      <c r="BV18" s="42"/>
      <c r="BW18" s="42"/>
      <c r="BX18" s="43">
        <f>BX11*2.2</f>
        <v>0</v>
      </c>
      <c r="BY18" s="42" t="str">
        <f>TEXT(BX18, "$#,###,###")</f>
        <v>$</v>
      </c>
      <c r="BZ18" s="42">
        <f>IF($N$28=6,1,0)</f>
        <v>0</v>
      </c>
      <c r="CA18" s="44" t="str">
        <f>CONCATENATE(Identification!$B$1&amp;" purchased an annual insurance policy on October 1 for "&amp;BY18&amp;".  On October 1, the policy was initially recorded as prepaid insurance.")</f>
        <v>Enter Name purchased an annual insurance policy on October 1 for $.  On October 1, the policy was initially recorded as prepaid insurance.</v>
      </c>
      <c r="CB18" s="42"/>
      <c r="CC18" s="42"/>
      <c r="CD18" s="42"/>
      <c r="CW18" s="58">
        <f>75000*CZ18</f>
        <v>0</v>
      </c>
      <c r="CX18" s="36">
        <v>40000</v>
      </c>
      <c r="CY18" s="32" t="str">
        <f>TEXT(CX18, "$#,###,###")</f>
        <v>$40,000</v>
      </c>
      <c r="CZ18" s="32">
        <f>IF($N$28=6,1,0)</f>
        <v>0</v>
      </c>
      <c r="DA18" s="35" t="str">
        <f>CONCATENATE("The company began the year with $40,000 of supplies inventory, purchased an additional $75,000 (which was recored as Supplies), and ended the year with "&amp;CY18&amp;".")</f>
        <v>The company began the year with $40,000 of supplies inventory, purchased an additional $75,000 (which was recored as Supplies), and ended the year with $40,000.</v>
      </c>
    </row>
    <row r="19" spans="1:108" s="32" customFormat="1" ht="24" customHeight="1">
      <c r="A19" s="18" t="s">
        <v>7</v>
      </c>
      <c r="B19" s="18"/>
      <c r="C19" s="18"/>
      <c r="D19" s="18"/>
      <c r="E19" s="18"/>
      <c r="F19" s="19" t="s">
        <v>6</v>
      </c>
      <c r="G19" s="42"/>
      <c r="H19" s="42"/>
      <c r="I19" s="42"/>
      <c r="J19" s="42"/>
      <c r="K19" s="42" t="s">
        <v>18</v>
      </c>
      <c r="L19" s="42">
        <f>IF($N$28=7,1,0)</f>
        <v>0</v>
      </c>
      <c r="M19" s="43">
        <f>ROUND(V30,0)</f>
        <v>0</v>
      </c>
      <c r="N19" s="42"/>
      <c r="O19" s="42"/>
      <c r="P19" s="44" t="str">
        <f>CONCATENATE(Identification!$B$1&amp;" Company has a server.  The asset records indicate that annual depreciation is "&amp;Y30&amp;".")</f>
        <v>Enter Name Company has a server.  The asset records indicate that annual depreciation is $.</v>
      </c>
      <c r="Q19" s="42"/>
      <c r="R19" s="42"/>
      <c r="S19" s="42"/>
      <c r="T19" s="42"/>
      <c r="U19" s="42"/>
      <c r="V19" s="42"/>
      <c r="W19" s="42"/>
      <c r="X19" s="42"/>
      <c r="Y19" s="42"/>
      <c r="Z19" s="45">
        <f>AA19*AB19</f>
        <v>0</v>
      </c>
      <c r="AA19" s="42">
        <f>IF($N$28=7,1,0)</f>
        <v>0</v>
      </c>
      <c r="AB19" s="43">
        <f>ROUND(V30*6,0)</f>
        <v>0</v>
      </c>
      <c r="AC19" s="42" t="str">
        <f>TEXT(AB19, "$#,###,###")</f>
        <v>$</v>
      </c>
      <c r="AD19" s="46">
        <f>AB19*0.5</f>
        <v>0</v>
      </c>
      <c r="AE19" s="44" t="str">
        <f>CONCATENATE("During the current year some clients began prepaying for future services.  Total collections under prepayment plans were "&amp;AC19&amp;", of which 50% had been earned by the end of the year.")</f>
        <v>During the current year some clients began prepaying for future services.  Total collections under prepayment plans were $, of which 50% had been earned by the end of the year.</v>
      </c>
      <c r="AF19" s="42"/>
      <c r="AG19" s="42"/>
      <c r="AH19" s="42"/>
      <c r="AI19" s="42"/>
      <c r="AJ19" s="42"/>
      <c r="AK19" s="42"/>
      <c r="AL19" s="42"/>
      <c r="AM19" s="42"/>
      <c r="AN19" s="42"/>
      <c r="AO19" s="42"/>
      <c r="AP19" s="42"/>
      <c r="AQ19" s="42"/>
      <c r="AR19" s="42"/>
      <c r="AS19" s="42"/>
      <c r="AT19" s="42"/>
      <c r="AU19" s="42"/>
      <c r="AV19" s="42"/>
      <c r="AW19" s="45">
        <f>BB29</f>
        <v>0</v>
      </c>
      <c r="AX19" s="42"/>
      <c r="AY19" s="42"/>
      <c r="AZ19" s="42"/>
      <c r="BA19" s="42"/>
      <c r="BB19" s="47"/>
      <c r="BC19" s="42"/>
      <c r="BD19" s="42"/>
      <c r="BE19" s="44"/>
      <c r="BF19" s="42"/>
      <c r="BG19" s="42"/>
      <c r="BH19" s="42"/>
      <c r="BI19" s="42"/>
      <c r="BJ19" s="42"/>
      <c r="BK19" s="42"/>
      <c r="BL19" s="42"/>
      <c r="BM19" s="42"/>
      <c r="BN19" s="42"/>
      <c r="BO19" s="42"/>
      <c r="BP19" s="42"/>
      <c r="BQ19" s="42"/>
      <c r="BR19" s="42"/>
      <c r="BS19" s="42"/>
      <c r="BT19" s="42"/>
      <c r="BU19" s="42"/>
      <c r="BV19" s="42"/>
      <c r="BW19" s="42"/>
      <c r="BX19" s="52">
        <f>BX18/2</f>
        <v>0</v>
      </c>
      <c r="BY19" s="42" t="str">
        <f>TEXT(BX19, "$#,###,###")</f>
        <v>$</v>
      </c>
      <c r="BZ19" s="42">
        <f>IF($N$28=7,1,0)</f>
        <v>0</v>
      </c>
      <c r="CA19" s="44" t="str">
        <f>CONCATENATE(Identification!$B$1&amp;" purchased an annual insurance policy on October 1 for "&amp;BY19&amp;".  On October 1, the policy was initially recorded as prepaid insurance.")</f>
        <v>Enter Name purchased an annual insurance policy on October 1 for $.  On October 1, the policy was initially recorded as prepaid insurance.</v>
      </c>
      <c r="CB19" s="42"/>
      <c r="CC19" s="42"/>
      <c r="CD19" s="42"/>
      <c r="CW19" s="58">
        <f>70000*CZ19</f>
        <v>0</v>
      </c>
      <c r="CX19" s="36">
        <v>45000</v>
      </c>
      <c r="CY19" s="32" t="str">
        <f>TEXT(CX19, "$#,###,###")</f>
        <v>$45,000</v>
      </c>
      <c r="CZ19" s="32">
        <f>IF($N$28=7,1,0)</f>
        <v>0</v>
      </c>
      <c r="DA19" s="35" t="str">
        <f>CONCATENATE("The company began the year with $40,000 of supplies inventory, purchased an additional $75,000 (which was recored as Supplies), and ended the year with "&amp;CY19&amp;".")</f>
        <v>The company began the year with $40,000 of supplies inventory, purchased an additional $75,000 (which was recored as Supplies), and ended the year with $45,000.</v>
      </c>
    </row>
    <row r="20" spans="1:108" s="32" customFormat="1" ht="24" customHeight="1">
      <c r="A20" s="21" t="s">
        <v>0</v>
      </c>
      <c r="B20" s="21" t="s">
        <v>1</v>
      </c>
      <c r="C20" s="21"/>
      <c r="D20" s="21" t="s">
        <v>2</v>
      </c>
      <c r="E20" s="21"/>
      <c r="F20" s="21" t="s">
        <v>3</v>
      </c>
      <c r="G20" s="42"/>
      <c r="H20" s="42"/>
      <c r="I20" s="42"/>
      <c r="J20" s="42"/>
      <c r="K20" s="42" t="s">
        <v>19</v>
      </c>
      <c r="L20" s="42">
        <f>IF($N$28&gt;7,1,0)</f>
        <v>0</v>
      </c>
      <c r="M20" s="43" t="e">
        <f>ROUND(Y33,0)</f>
        <v>#VALUE!</v>
      </c>
      <c r="N20" s="42"/>
      <c r="O20" s="42"/>
      <c r="P20" s="44" t="str">
        <f>CONCATENATE(Identification!$B$1&amp;" Company has a car.  The asset records indicate that annual depreciation is "&amp;Y33&amp;".")</f>
        <v>Enter Name Company has a car.  The asset records indicate that annual depreciation is $.</v>
      </c>
      <c r="Q20" s="42"/>
      <c r="R20" s="42"/>
      <c r="S20" s="42"/>
      <c r="T20" s="42"/>
      <c r="U20" s="42"/>
      <c r="V20" s="42"/>
      <c r="W20" s="42"/>
      <c r="X20" s="42"/>
      <c r="Y20" s="42"/>
      <c r="Z20" s="45" t="e">
        <f>AA20*AB20</f>
        <v>#VALUE!</v>
      </c>
      <c r="AA20" s="42">
        <f>IF($N$28&gt;7,1,0)</f>
        <v>0</v>
      </c>
      <c r="AB20" s="43" t="e">
        <f>ROUND(Y33*3.5,0)</f>
        <v>#VALUE!</v>
      </c>
      <c r="AC20" s="42" t="e">
        <f>TEXT(AB20, "$#,###,###")</f>
        <v>#VALUE!</v>
      </c>
      <c r="AD20" s="46" t="e">
        <f>AB20*0.8</f>
        <v>#VALUE!</v>
      </c>
      <c r="AE20" s="44" t="e">
        <f>CONCATENATE("During the current year some clients began prepaying for future services.  Total collections under prepayment plans were "&amp;AC20&amp;", of which 80% had been earned by the end of the year.")</f>
        <v>#VALUE!</v>
      </c>
      <c r="AF20" s="42"/>
      <c r="AG20" s="42"/>
      <c r="AH20" s="42"/>
      <c r="AI20" s="42"/>
      <c r="AJ20" s="42"/>
      <c r="AK20" s="42"/>
      <c r="AL20" s="42"/>
      <c r="AM20" s="42"/>
      <c r="AN20" s="42"/>
      <c r="AO20" s="42"/>
      <c r="AP20" s="42"/>
      <c r="AQ20" s="42"/>
      <c r="AR20" s="42"/>
      <c r="AS20" s="42"/>
      <c r="AT20" s="42"/>
      <c r="AU20" s="42"/>
      <c r="AV20" s="42"/>
      <c r="AW20" s="45">
        <f>BB30</f>
        <v>0</v>
      </c>
      <c r="AX20" s="42"/>
      <c r="AY20" s="42"/>
      <c r="AZ20" s="42"/>
      <c r="BA20" s="42"/>
      <c r="BB20" s="47"/>
      <c r="BC20" s="42"/>
      <c r="BD20" s="42"/>
      <c r="BE20" s="44"/>
      <c r="BF20" s="42"/>
      <c r="BG20" s="42"/>
      <c r="BH20" s="42"/>
      <c r="BI20" s="42"/>
      <c r="BJ20" s="42"/>
      <c r="BK20" s="42"/>
      <c r="BL20" s="42"/>
      <c r="BM20" s="42"/>
      <c r="BN20" s="42"/>
      <c r="BO20" s="42"/>
      <c r="BP20" s="42"/>
      <c r="BQ20" s="42"/>
      <c r="BR20" s="42"/>
      <c r="BS20" s="42"/>
      <c r="BT20" s="42"/>
      <c r="BU20" s="42"/>
      <c r="BV20" s="42"/>
      <c r="BW20" s="42"/>
      <c r="BX20" s="43">
        <f>BX18*1.6</f>
        <v>0</v>
      </c>
      <c r="BY20" s="42" t="str">
        <f>TEXT(BX20, "$#,###,###")</f>
        <v>$</v>
      </c>
      <c r="BZ20" s="42">
        <f>IF($N$28&gt;7,1,0)</f>
        <v>0</v>
      </c>
      <c r="CA20" s="44" t="str">
        <f>CONCATENATE(Identification!$B$1&amp;" purchased an annual insurance policy on October 1 for "&amp;BY20&amp;".  On October 1, the policy was initially recorded as insurance expense.")</f>
        <v>Enter Name purchased an annual insurance policy on October 1 for $.  On October 1, the policy was initially recorded as insurance expense.</v>
      </c>
      <c r="CB20" s="42"/>
      <c r="CC20" s="42"/>
      <c r="CD20" s="42"/>
      <c r="CW20" s="58">
        <f>65000*CZ20</f>
        <v>0</v>
      </c>
      <c r="CX20" s="36">
        <v>50000</v>
      </c>
      <c r="CY20" s="32" t="str">
        <f>TEXT(CX20, "$#,###,###")</f>
        <v>$50,000</v>
      </c>
      <c r="CZ20" s="32">
        <f>IF($N$28&gt;7,1,0)</f>
        <v>0</v>
      </c>
      <c r="DA20" s="35" t="str">
        <f>CONCATENATE("The company began the year with $40,000 of supplies inventory, purchased an additional $75,000 (which was recored as Supplies), and ended the year with "&amp;CY20&amp;".")</f>
        <v>The company began the year with $40,000 of supplies inventory, purchased an additional $75,000 (which was recored as Supplies), and ended the year with $50,000.</v>
      </c>
    </row>
    <row r="21" spans="1:108" s="32" customFormat="1" ht="24" customHeight="1">
      <c r="A21" s="22" t="s">
        <v>20</v>
      </c>
      <c r="B21" s="29"/>
      <c r="C21" s="54" t="str">
        <f>IF($I$23=1,$K$5,"")</f>
        <v/>
      </c>
      <c r="D21" s="38">
        <v>0</v>
      </c>
      <c r="E21" s="23"/>
      <c r="F21" s="24"/>
      <c r="G21" s="42"/>
      <c r="H21" s="20">
        <f>IF(B21="Advertising Expense",1,0)</f>
        <v>0</v>
      </c>
      <c r="I21" s="20">
        <f>IF(D21=AY31,1,0)</f>
        <v>1</v>
      </c>
      <c r="J21" s="42"/>
      <c r="K21" s="42">
        <v>0</v>
      </c>
      <c r="L21" s="42"/>
      <c r="M21" s="42"/>
      <c r="N21" s="42"/>
      <c r="O21" s="42"/>
      <c r="P21" s="42"/>
      <c r="Q21" s="42"/>
      <c r="R21" s="42"/>
      <c r="S21" s="42"/>
      <c r="T21" s="42"/>
      <c r="U21" s="42"/>
      <c r="V21" s="42"/>
      <c r="W21" s="42" t="e">
        <f>TEXT(X21, "$#,###,###")</f>
        <v>#VALUE!</v>
      </c>
      <c r="X21" s="53" t="e">
        <f>ROUND(Y21,0)</f>
        <v>#VALUE!</v>
      </c>
      <c r="Y21" s="45" t="e">
        <f>Z21/4.5</f>
        <v>#VALUE!</v>
      </c>
      <c r="Z21" s="45" t="e">
        <f>SUM(Z2:Z20)</f>
        <v>#VALUE!</v>
      </c>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6">
        <f>BA21*BD21</f>
        <v>0</v>
      </c>
      <c r="AZ21" s="45">
        <f>BA21*BB21</f>
        <v>0</v>
      </c>
      <c r="BA21" s="42">
        <f>IF($N$28=5,1,0)</f>
        <v>0</v>
      </c>
      <c r="BB21" s="43">
        <f>ROUND(V35/3,0)</f>
        <v>0</v>
      </c>
      <c r="BC21" s="42" t="str">
        <f>TEXT(BB21, "$#,###,###")</f>
        <v>$</v>
      </c>
      <c r="BD21" s="46">
        <f>BB21/2</f>
        <v>0</v>
      </c>
      <c r="BE21" s="44" t="str">
        <f>CONCATENATE(Identification!$B$1&amp;" Company advertises on the internet.  On July 1, the company prepaid "&amp;BC21&amp;" for a one-year advertising campaign that began immediately.  The prepayment was initiall recorded as prepaid advertising.")</f>
        <v>Enter Name Company advertises on the internet.  On July 1, the company prepaid $ for a one-year advertising campaign that began immediately.  The prepayment was initiall recorded as prepaid advertising.</v>
      </c>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W21" s="58">
        <f>SUM(CW2:CW20)</f>
        <v>90000</v>
      </c>
    </row>
    <row r="22" spans="1:108" s="32" customFormat="1" ht="24" customHeight="1">
      <c r="A22" s="25"/>
      <c r="B22" s="30"/>
      <c r="C22" s="23" t="str">
        <f>C21</f>
        <v/>
      </c>
      <c r="D22" s="26"/>
      <c r="E22" s="23"/>
      <c r="F22" s="51">
        <f>D21</f>
        <v>0</v>
      </c>
      <c r="G22" s="42"/>
      <c r="H22" s="20">
        <f>IF(B22="Prepaid Advertising",1,0)</f>
        <v>0</v>
      </c>
      <c r="I22" s="42"/>
      <c r="J22" s="42"/>
      <c r="K22" s="46">
        <f>BD12</f>
        <v>0</v>
      </c>
      <c r="L22" s="42"/>
      <c r="M22" s="42"/>
      <c r="N22" s="42"/>
      <c r="O22" s="42"/>
      <c r="P22" s="42"/>
      <c r="Q22" s="42"/>
      <c r="R22" s="42"/>
      <c r="S22" s="42"/>
      <c r="T22" s="42"/>
      <c r="U22" s="42"/>
      <c r="V22" s="42"/>
      <c r="W22" s="42" t="e">
        <f>TEXT(X22, "$#,###,###")</f>
        <v>#VALUE!</v>
      </c>
      <c r="X22" s="53" t="e">
        <f>ROUND(Y22,0)</f>
        <v>#VALUE!</v>
      </c>
      <c r="Y22" s="45" t="e">
        <f>Z22/4.5</f>
        <v>#VALUE!</v>
      </c>
      <c r="Z22" s="46" t="e">
        <f>Z21*0.4</f>
        <v>#VALUE!</v>
      </c>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7"/>
      <c r="BC22" s="42"/>
      <c r="BD22" s="42"/>
      <c r="BE22" s="44"/>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X22" s="37"/>
    </row>
    <row r="23" spans="1:108" s="32" customFormat="1" ht="24" customHeight="1">
      <c r="A23" s="25"/>
      <c r="B23" s="27" t="s">
        <v>24</v>
      </c>
      <c r="C23" s="27"/>
      <c r="D23" s="28"/>
      <c r="E23" s="28"/>
      <c r="F23" s="28"/>
      <c r="G23" s="42"/>
      <c r="H23" s="42"/>
      <c r="I23" s="42">
        <f>H21*H22*I21</f>
        <v>0</v>
      </c>
      <c r="J23" s="42"/>
      <c r="K23" s="46">
        <f>BD14</f>
        <v>0</v>
      </c>
      <c r="L23" s="42"/>
      <c r="M23" s="42"/>
      <c r="N23" s="42"/>
      <c r="O23" s="42"/>
      <c r="P23" s="42"/>
      <c r="Q23" s="42"/>
      <c r="R23" s="42"/>
      <c r="S23" s="42"/>
      <c r="T23" s="42"/>
      <c r="U23" s="42"/>
      <c r="V23" s="42"/>
      <c r="W23" s="42"/>
      <c r="X23" s="42"/>
      <c r="Y23" s="42"/>
      <c r="Z23" s="42"/>
      <c r="AA23" s="42"/>
      <c r="AB23" s="42">
        <v>0</v>
      </c>
      <c r="AC23" s="46">
        <f>ROUND(AB23,0)</f>
        <v>0</v>
      </c>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7"/>
      <c r="BC23" s="42"/>
      <c r="BD23" s="42"/>
      <c r="BE23" s="44"/>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X23" s="37"/>
    </row>
    <row r="24" spans="1:108" s="32" customFormat="1" ht="60.75" customHeight="1">
      <c r="A24" s="49" t="s">
        <v>25</v>
      </c>
      <c r="B24" s="49" t="e">
        <f>CONCATENATE("Services provided to clients, which have not yet been billed, amount to "&amp;W21&amp;".")</f>
        <v>#VALUE!</v>
      </c>
      <c r="C24" s="49"/>
      <c r="D24" s="42"/>
      <c r="E24" s="42"/>
      <c r="F24" s="42"/>
      <c r="G24" s="42"/>
      <c r="H24" s="42"/>
      <c r="I24" s="42"/>
      <c r="J24" s="42"/>
      <c r="K24" s="46">
        <f>BD21</f>
        <v>0</v>
      </c>
      <c r="L24" s="42"/>
      <c r="M24" s="42"/>
      <c r="N24" s="42"/>
      <c r="O24" s="42"/>
      <c r="P24" s="42"/>
      <c r="Q24" s="42"/>
      <c r="R24" s="42"/>
      <c r="S24" s="42"/>
      <c r="T24" s="42"/>
      <c r="U24" s="42"/>
      <c r="V24" s="42"/>
      <c r="W24" s="42"/>
      <c r="X24" s="42"/>
      <c r="Y24" s="42"/>
      <c r="Z24" s="42"/>
      <c r="AA24" s="42"/>
      <c r="AB24" s="46" t="e">
        <f>AB20/4.5</f>
        <v>#VALUE!</v>
      </c>
      <c r="AC24" s="46" t="e">
        <f>ROUND(AB24,0)</f>
        <v>#VALUE!</v>
      </c>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7"/>
      <c r="BC24" s="42"/>
      <c r="BD24" s="42"/>
      <c r="BE24" s="44"/>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X24" s="37"/>
    </row>
    <row r="25" spans="1:108" s="32" customFormat="1" ht="24" customHeight="1">
      <c r="A25" s="18" t="s">
        <v>7</v>
      </c>
      <c r="B25" s="18"/>
      <c r="C25" s="18"/>
      <c r="D25" s="18"/>
      <c r="E25" s="18"/>
      <c r="F25" s="19" t="s">
        <v>6</v>
      </c>
      <c r="G25" s="42"/>
      <c r="H25" s="42"/>
      <c r="I25" s="42"/>
      <c r="J25" s="42"/>
      <c r="K25" s="46">
        <f>BD28</f>
        <v>0</v>
      </c>
      <c r="L25" s="42"/>
      <c r="M25" s="42"/>
      <c r="N25" s="42"/>
      <c r="O25" s="42"/>
      <c r="P25" s="42"/>
      <c r="Q25" s="42"/>
      <c r="R25" s="42"/>
      <c r="S25" s="42"/>
      <c r="T25" s="42"/>
      <c r="U25" s="42"/>
      <c r="V25" s="42"/>
      <c r="W25" s="42"/>
      <c r="X25" s="42"/>
      <c r="Y25" s="42"/>
      <c r="Z25" s="42"/>
      <c r="AA25" s="42"/>
      <c r="AB25" s="46">
        <f>AB19/4.5</f>
        <v>0</v>
      </c>
      <c r="AC25" s="46">
        <f t="shared" ref="AC25:AC29" si="4">ROUND(AB25,0)</f>
        <v>0</v>
      </c>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7"/>
      <c r="BC25" s="42"/>
      <c r="BD25" s="42"/>
      <c r="BE25" s="44"/>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X25" s="37"/>
    </row>
    <row r="26" spans="1:108" ht="24" customHeight="1">
      <c r="A26" s="21" t="s">
        <v>0</v>
      </c>
      <c r="B26" s="21" t="s">
        <v>1</v>
      </c>
      <c r="C26" s="21"/>
      <c r="D26" s="21" t="s">
        <v>2</v>
      </c>
      <c r="E26" s="21"/>
      <c r="F26" s="21" t="s">
        <v>3</v>
      </c>
      <c r="G26" s="42"/>
      <c r="H26" s="9"/>
      <c r="K26" s="39">
        <f>BD29</f>
        <v>0</v>
      </c>
      <c r="AB26" s="55" t="e">
        <f>AB18/4.5</f>
        <v>#VALUE!</v>
      </c>
      <c r="AC26" s="46" t="e">
        <f t="shared" si="4"/>
        <v>#VALUE!</v>
      </c>
      <c r="BA26" s="42"/>
      <c r="BB26" s="47"/>
      <c r="BC26" s="42"/>
      <c r="BD26" s="42"/>
      <c r="BE26" s="44"/>
      <c r="BF26" s="42"/>
      <c r="CX26" s="37"/>
      <c r="CY26" s="32"/>
      <c r="CZ26" s="32"/>
      <c r="DA26" s="32"/>
      <c r="DB26" s="32"/>
      <c r="DC26" s="32"/>
      <c r="DD26" s="32"/>
    </row>
    <row r="27" spans="1:108" s="13" customFormat="1" ht="24" customHeight="1">
      <c r="A27" s="22" t="s">
        <v>20</v>
      </c>
      <c r="B27" s="29"/>
      <c r="C27" s="54" t="e">
        <f>IF($I$29=1,$K$5,"")</f>
        <v>#VALUE!</v>
      </c>
      <c r="D27" s="38">
        <v>0</v>
      </c>
      <c r="E27" s="23"/>
      <c r="F27" s="24"/>
      <c r="G27" s="42"/>
      <c r="H27" s="20">
        <f>IF(B27="Accounts Receivable",1,0)</f>
        <v>0</v>
      </c>
      <c r="I27" s="20" t="e">
        <f>IF(D27=X21,1,0)</f>
        <v>#VALUE!</v>
      </c>
      <c r="J27" s="40"/>
      <c r="K27" s="33">
        <f>BD30</f>
        <v>0</v>
      </c>
      <c r="L27" s="40"/>
      <c r="M27" s="40"/>
      <c r="N27" s="40"/>
      <c r="O27" s="40"/>
      <c r="P27" s="40"/>
      <c r="Q27" s="40"/>
      <c r="R27" s="40"/>
      <c r="S27" s="40"/>
      <c r="T27" s="40"/>
      <c r="U27" s="40"/>
      <c r="V27" s="40"/>
      <c r="W27" s="40"/>
      <c r="X27" s="40"/>
      <c r="Y27" s="40"/>
      <c r="Z27" s="40"/>
      <c r="AA27" s="40"/>
      <c r="AB27" s="56" t="e">
        <f>AB11/4.5</f>
        <v>#VALUE!</v>
      </c>
      <c r="AC27" s="46" t="e">
        <f t="shared" si="4"/>
        <v>#VALUE!</v>
      </c>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2"/>
      <c r="BB27" s="47"/>
      <c r="BC27" s="42"/>
      <c r="BD27" s="42"/>
      <c r="BE27" s="44"/>
      <c r="BF27" s="42"/>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X27" s="36">
        <f>CX20*2.2</f>
        <v>110000.00000000001</v>
      </c>
      <c r="CY27" s="32" t="str">
        <f>TEXT(CX27, "$#,###,###")</f>
        <v>$110,000</v>
      </c>
      <c r="CZ27" s="32">
        <f>IF($N$28=6,1,0)</f>
        <v>0</v>
      </c>
      <c r="DA27" s="35" t="str">
        <f>CONCATENATE(Identification!$B$1&amp;" purchased an annual insurance policy on October 1 for "&amp;CY27&amp;".  On October 1, the policy was initially recorded as prepaid insurance.")</f>
        <v>Enter Name purchased an annual insurance policy on October 1 for $110,000.  On October 1, the policy was initially recorded as prepaid insurance.</v>
      </c>
      <c r="DB27" s="32"/>
      <c r="DC27" s="32"/>
      <c r="DD27" s="32"/>
    </row>
    <row r="28" spans="1:108" s="13" customFormat="1" ht="24" customHeight="1">
      <c r="A28" s="25"/>
      <c r="B28" s="30"/>
      <c r="C28" s="23" t="e">
        <f>C27</f>
        <v>#VALUE!</v>
      </c>
      <c r="D28" s="26"/>
      <c r="E28" s="23"/>
      <c r="F28" s="51">
        <f>D27</f>
        <v>0</v>
      </c>
      <c r="G28" s="42"/>
      <c r="H28" s="20">
        <f>IF(B28="Revenue",1,0)</f>
        <v>0</v>
      </c>
      <c r="I28" s="42"/>
      <c r="J28" s="40"/>
      <c r="K28" s="40"/>
      <c r="L28" s="40"/>
      <c r="M28" s="40"/>
      <c r="N28" s="15">
        <f>Identification!C71</f>
        <v>0</v>
      </c>
      <c r="O28" s="15">
        <f>Identification!D71</f>
        <v>0</v>
      </c>
      <c r="P28" s="15">
        <f>Identification!E71</f>
        <v>0</v>
      </c>
      <c r="Q28" s="15">
        <f>Identification!F71</f>
        <v>0</v>
      </c>
      <c r="R28" s="15">
        <f>Identification!G71</f>
        <v>0</v>
      </c>
      <c r="S28" s="15" t="e">
        <f>Identification!H71</f>
        <v>#DIV/0!</v>
      </c>
      <c r="T28" s="15"/>
      <c r="U28" s="34">
        <f>N28*N29</f>
        <v>0</v>
      </c>
      <c r="V28" s="34">
        <f t="shared" ref="V28:W28" si="5">O28*O29</f>
        <v>0</v>
      </c>
      <c r="W28" s="34">
        <f t="shared" si="5"/>
        <v>0</v>
      </c>
      <c r="X28" s="16" t="str">
        <f>TEXT(U28, "$#,###,###")</f>
        <v>$</v>
      </c>
      <c r="Y28" s="16" t="str">
        <f t="shared" ref="Y28:Z35" si="6">TEXT(V28, "$#,###,###")</f>
        <v>$</v>
      </c>
      <c r="Z28" s="16" t="str">
        <f t="shared" si="6"/>
        <v>$</v>
      </c>
      <c r="AA28" s="40"/>
      <c r="AB28" s="33" t="e">
        <f>AB4/4.5</f>
        <v>#VALUE!</v>
      </c>
      <c r="AC28" s="46" t="e">
        <f t="shared" si="4"/>
        <v>#VALUE!</v>
      </c>
      <c r="AD28" s="40"/>
      <c r="AE28" s="40"/>
      <c r="AF28" s="40"/>
      <c r="AG28" s="40"/>
      <c r="AH28" s="40"/>
      <c r="AI28" s="40"/>
      <c r="AJ28" s="40"/>
      <c r="AK28" s="40"/>
      <c r="AL28" s="40"/>
      <c r="AM28" s="40"/>
      <c r="AN28" s="40"/>
      <c r="AO28" s="40"/>
      <c r="AP28" s="40"/>
      <c r="AQ28" s="40"/>
      <c r="AR28" s="40"/>
      <c r="AS28" s="40"/>
      <c r="AT28" s="40"/>
      <c r="AU28" s="40"/>
      <c r="AV28" s="40"/>
      <c r="AW28" s="40"/>
      <c r="AX28" s="40"/>
      <c r="AY28" s="46">
        <f>BA28*BD28</f>
        <v>0</v>
      </c>
      <c r="AZ28" s="45">
        <f>BA28*BB28</f>
        <v>0</v>
      </c>
      <c r="BA28" s="42">
        <f>IF($N$28=6,1,0)</f>
        <v>0</v>
      </c>
      <c r="BB28" s="43">
        <f>ROUND(V33/8,0)</f>
        <v>0</v>
      </c>
      <c r="BC28" s="42" t="str">
        <f>TEXT(BB28, "$#,###,###")</f>
        <v>$</v>
      </c>
      <c r="BD28" s="46">
        <f>BB28/4</f>
        <v>0</v>
      </c>
      <c r="BE28" s="44" t="str">
        <f>CONCATENATE(Identification!$B$1&amp;" Company advertises in a local newspaper.  On December 1, the company prepaid "&amp;BC28&amp;" for a four-month advertising campaign that began immediately.  The prepayment was initiall recorded as prepaid advertising.")</f>
        <v>Enter Name Company advertises in a local newspaper.  On December 1, the company prepaid $ for a four-month advertising campaign that began immediately.  The prepayment was initiall recorded as prepaid advertising.</v>
      </c>
      <c r="BF28" s="42"/>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X28" s="41">
        <f>CX27/2</f>
        <v>55000.000000000007</v>
      </c>
      <c r="CY28" s="32" t="str">
        <f>TEXT(CX28, "$#,###,###")</f>
        <v>$55,000</v>
      </c>
      <c r="CZ28" s="32">
        <f>IF($N$28=7,1,0)</f>
        <v>0</v>
      </c>
      <c r="DA28" s="35" t="str">
        <f>CONCATENATE(Identification!$B$1&amp;" purchased an annual insurance policy on October 1 for "&amp;CY28&amp;".  On October 1, the policy was initially recorded as prepaid insurance.")</f>
        <v>Enter Name purchased an annual insurance policy on October 1 for $55,000.  On October 1, the policy was initially recorded as prepaid insurance.</v>
      </c>
      <c r="DB28" s="32"/>
      <c r="DC28" s="32"/>
      <c r="DD28" s="32"/>
    </row>
    <row r="29" spans="1:108" s="13" customFormat="1" ht="24" customHeight="1">
      <c r="A29" s="25"/>
      <c r="B29" s="27" t="s">
        <v>26</v>
      </c>
      <c r="C29" s="27"/>
      <c r="D29" s="28"/>
      <c r="E29" s="28"/>
      <c r="F29" s="28"/>
      <c r="G29" s="42"/>
      <c r="H29" s="42"/>
      <c r="I29" s="42" t="e">
        <f>H27*H28*I27</f>
        <v>#VALUE!</v>
      </c>
      <c r="J29" s="40"/>
      <c r="K29" s="40"/>
      <c r="L29" s="40"/>
      <c r="M29" s="40"/>
      <c r="N29" s="15">
        <f>Identification!C72</f>
        <v>0</v>
      </c>
      <c r="O29" s="15">
        <f>Identification!D72</f>
        <v>0</v>
      </c>
      <c r="P29" s="15">
        <f>Identification!E72</f>
        <v>0</v>
      </c>
      <c r="Q29" s="15">
        <f>Identification!F72</f>
        <v>0</v>
      </c>
      <c r="R29" s="15">
        <f>Identification!G72</f>
        <v>0</v>
      </c>
      <c r="S29" s="15" t="e">
        <f>Identification!H72</f>
        <v>#DIV/0!</v>
      </c>
      <c r="T29" s="15"/>
      <c r="U29" s="34">
        <f t="shared" ref="U29:U35" si="7">N29*N30</f>
        <v>0</v>
      </c>
      <c r="V29" s="34">
        <f t="shared" ref="V29:V35" si="8">O29*O30</f>
        <v>0</v>
      </c>
      <c r="W29" s="34">
        <f t="shared" ref="W29:W35" si="9">P29*P30</f>
        <v>0</v>
      </c>
      <c r="X29" s="16" t="str">
        <f t="shared" ref="X29:X35" si="10">TEXT(U29, "$#,###,###")</f>
        <v>$</v>
      </c>
      <c r="Y29" s="16" t="str">
        <f t="shared" si="6"/>
        <v>$</v>
      </c>
      <c r="Z29" s="16" t="str">
        <f t="shared" si="6"/>
        <v>$</v>
      </c>
      <c r="AA29" s="40"/>
      <c r="AB29" s="33">
        <f>AB2/4.5</f>
        <v>0</v>
      </c>
      <c r="AC29" s="46">
        <f t="shared" si="4"/>
        <v>0</v>
      </c>
      <c r="AD29" s="40"/>
      <c r="AE29" s="40"/>
      <c r="AF29" s="40"/>
      <c r="AG29" s="40"/>
      <c r="AH29" s="40"/>
      <c r="AI29" s="40"/>
      <c r="AJ29" s="40"/>
      <c r="AK29" s="40"/>
      <c r="AL29" s="40"/>
      <c r="AM29" s="40"/>
      <c r="AN29" s="40"/>
      <c r="AO29" s="40"/>
      <c r="AP29" s="40"/>
      <c r="AQ29" s="40"/>
      <c r="AR29" s="40"/>
      <c r="AS29" s="40"/>
      <c r="AT29" s="40"/>
      <c r="AU29" s="40"/>
      <c r="AV29" s="40"/>
      <c r="AW29" s="40"/>
      <c r="AX29" s="40"/>
      <c r="AY29" s="46">
        <f>BA29*BD29</f>
        <v>0</v>
      </c>
      <c r="AZ29" s="45">
        <f>BA29*BB29</f>
        <v>0</v>
      </c>
      <c r="BA29" s="42">
        <f>IF($N$28=7,1,0)</f>
        <v>0</v>
      </c>
      <c r="BB29" s="43">
        <f>ROUND(V34/6,0)</f>
        <v>0</v>
      </c>
      <c r="BC29" s="42" t="str">
        <f>TEXT(BB29, "$#,###,###")</f>
        <v>$</v>
      </c>
      <c r="BD29" s="46">
        <f>BB29/3</f>
        <v>0</v>
      </c>
      <c r="BE29" s="44" t="str">
        <f>CONCATENATE(Identification!$B$1&amp;" Company advertises on a local radio station.  On October 1, the company prepaid "&amp;BC29&amp;" for a nine-month advertising campaign that began immediately.  The prepayment was initiall recorded as prepaid advertising.")</f>
        <v>Enter Name Company advertises on a local radio station.  On October 1, the company prepaid $ for a nine-month advertising campaign that began immediately.  The prepayment was initiall recorded as prepaid advertising.</v>
      </c>
      <c r="BF29" s="42"/>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X29" s="36">
        <f>CX27*1.6</f>
        <v>176000.00000000003</v>
      </c>
      <c r="CY29" s="32" t="str">
        <f>TEXT(CX29, "$#,###,###")</f>
        <v>$176,000</v>
      </c>
      <c r="CZ29" s="32">
        <f>IF($N$28&gt;7,1,0)</f>
        <v>0</v>
      </c>
      <c r="DA29" s="35" t="str">
        <f>CONCATENATE(Identification!$B$1&amp;" purchased an annual insurance policy on October 1 for "&amp;CY29&amp;".  On October 1, the policy was initially recorded as insurance expense.")</f>
        <v>Enter Name purchased an annual insurance policy on October 1 for $176,000.  On October 1, the policy was initially recorded as insurance expense.</v>
      </c>
      <c r="DB29" s="32"/>
      <c r="DC29" s="32"/>
      <c r="DD29" s="32"/>
    </row>
    <row r="30" spans="1:108" s="13" customFormat="1" ht="18" customHeight="1">
      <c r="A30" s="9"/>
      <c r="B30" s="9"/>
      <c r="C30" s="9"/>
      <c r="D30" s="14"/>
      <c r="E30" s="9"/>
      <c r="F30" s="12"/>
      <c r="G30" s="9"/>
      <c r="H30" s="9"/>
      <c r="I30" s="40"/>
      <c r="J30" s="40"/>
      <c r="K30" s="40"/>
      <c r="L30" s="40"/>
      <c r="M30" s="40"/>
      <c r="N30" s="15">
        <f>Identification!C73</f>
        <v>0</v>
      </c>
      <c r="O30" s="15">
        <f>Identification!D73</f>
        <v>0</v>
      </c>
      <c r="P30" s="15">
        <f>Identification!E73</f>
        <v>0</v>
      </c>
      <c r="Q30" s="15">
        <f>Identification!F73</f>
        <v>0</v>
      </c>
      <c r="R30" s="15">
        <f>Identification!G73</f>
        <v>0</v>
      </c>
      <c r="S30" s="15" t="e">
        <f>Identification!H73</f>
        <v>#DIV/0!</v>
      </c>
      <c r="T30" s="15"/>
      <c r="U30" s="34">
        <f t="shared" si="7"/>
        <v>0</v>
      </c>
      <c r="V30" s="34">
        <f t="shared" si="8"/>
        <v>0</v>
      </c>
      <c r="W30" s="34">
        <f t="shared" si="9"/>
        <v>0</v>
      </c>
      <c r="X30" s="16" t="str">
        <f t="shared" si="10"/>
        <v>$</v>
      </c>
      <c r="Y30" s="16" t="str">
        <f t="shared" si="6"/>
        <v>$</v>
      </c>
      <c r="Z30" s="16" t="str">
        <f t="shared" si="6"/>
        <v>$</v>
      </c>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6">
        <f>BA30*BD30</f>
        <v>0</v>
      </c>
      <c r="AZ30" s="45">
        <f>BA30*BB30</f>
        <v>0</v>
      </c>
      <c r="BA30" s="42">
        <f>IF($N$28&gt;7,1,0)</f>
        <v>0</v>
      </c>
      <c r="BB30" s="43">
        <f>ROUND(V35/35,0)</f>
        <v>0</v>
      </c>
      <c r="BC30" s="42" t="str">
        <f>TEXT(BB30, "$#,###,###")</f>
        <v>$</v>
      </c>
      <c r="BD30" s="46">
        <f>BB30/2</f>
        <v>0</v>
      </c>
      <c r="BE30" s="44" t="str">
        <f>CONCATENATE(Identification!$B$1&amp;" Company advertises on billboards.  On September 1, the company prepaid "&amp;BC30&amp;" for an eight-month advertising campaign that began immediately.  The prepayment was initiall recorded as prepaid advertising.")</f>
        <v>Enter Name Company advertises on billboards.  On September 1, the company prepaid $ for an eight-month advertising campaign that began immediately.  The prepayment was initiall recorded as prepaid advertising.</v>
      </c>
      <c r="BF30" s="42"/>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X30" s="32"/>
      <c r="CY30" s="32"/>
      <c r="CZ30" s="32"/>
      <c r="DA30" s="32"/>
      <c r="DB30" s="32"/>
      <c r="DC30" s="32"/>
      <c r="DD30" s="32"/>
    </row>
    <row r="31" spans="1:108" s="13" customFormat="1" ht="72.75" customHeight="1">
      <c r="A31" s="49" t="s">
        <v>27</v>
      </c>
      <c r="B31" s="49" t="str">
        <f>CE2</f>
        <v>Enter Name purchased an annual insurance policy on October 1 for $.  On October 1, the policy was initially recorded as prepaid insurance.</v>
      </c>
      <c r="C31" s="49"/>
      <c r="D31" s="42"/>
      <c r="E31" s="42"/>
      <c r="F31" s="42"/>
      <c r="G31" s="9"/>
      <c r="H31" s="9"/>
      <c r="I31" s="40"/>
      <c r="J31" s="40"/>
      <c r="K31" s="40"/>
      <c r="L31" s="40"/>
      <c r="M31" s="40"/>
      <c r="N31" s="15">
        <f>Identification!C74</f>
        <v>0</v>
      </c>
      <c r="O31" s="15">
        <f>Identification!D74</f>
        <v>0</v>
      </c>
      <c r="P31" s="15">
        <f>Identification!E74</f>
        <v>0</v>
      </c>
      <c r="Q31" s="15">
        <f>Identification!F74</f>
        <v>0</v>
      </c>
      <c r="R31" s="15">
        <f>Identification!G74</f>
        <v>0</v>
      </c>
      <c r="S31" s="15">
        <f>Identification!H74</f>
        <v>0</v>
      </c>
      <c r="T31" s="15"/>
      <c r="U31" s="34"/>
      <c r="V31" s="34"/>
      <c r="W31" s="34"/>
      <c r="X31" s="16" t="str">
        <f t="shared" si="10"/>
        <v>$</v>
      </c>
      <c r="Y31" s="16" t="str">
        <f t="shared" si="6"/>
        <v>$</v>
      </c>
      <c r="Z31" s="16" t="str">
        <f t="shared" si="6"/>
        <v>$</v>
      </c>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16">
        <f>SUM(AY12:AY30)</f>
        <v>0</v>
      </c>
      <c r="AZ31" s="16">
        <f>SUM(AZ12:AZ30)</f>
        <v>0</v>
      </c>
      <c r="BA31" s="42"/>
      <c r="BB31" s="42"/>
      <c r="BC31" s="42"/>
      <c r="BD31" s="42"/>
      <c r="BE31" s="42"/>
      <c r="BF31" s="42"/>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row>
    <row r="32" spans="1:108" s="13" customFormat="1" ht="24" customHeight="1">
      <c r="A32" s="18" t="s">
        <v>7</v>
      </c>
      <c r="B32" s="18"/>
      <c r="C32" s="18"/>
      <c r="D32" s="18"/>
      <c r="E32" s="18"/>
      <c r="F32" s="19" t="s">
        <v>6</v>
      </c>
      <c r="G32" s="9"/>
      <c r="H32" s="9"/>
      <c r="I32" s="40"/>
      <c r="J32" s="40"/>
      <c r="K32" s="40"/>
      <c r="L32" s="40"/>
      <c r="M32" s="40"/>
      <c r="N32" s="15"/>
      <c r="O32" s="40"/>
      <c r="P32" s="40"/>
      <c r="Q32" s="40"/>
      <c r="R32" s="40"/>
      <c r="S32" s="40"/>
      <c r="T32" s="40"/>
      <c r="U32" s="34"/>
      <c r="V32" s="34"/>
      <c r="W32" s="34"/>
      <c r="X32" s="16" t="str">
        <f t="shared" si="10"/>
        <v>$</v>
      </c>
      <c r="Y32" s="16" t="str">
        <f t="shared" si="6"/>
        <v>$</v>
      </c>
      <c r="Z32" s="16" t="str">
        <f t="shared" si="6"/>
        <v>$</v>
      </c>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row>
    <row r="33" spans="1:82" s="13" customFormat="1" ht="24" customHeight="1">
      <c r="A33" s="21" t="s">
        <v>0</v>
      </c>
      <c r="B33" s="21" t="s">
        <v>1</v>
      </c>
      <c r="C33" s="21"/>
      <c r="D33" s="21" t="s">
        <v>2</v>
      </c>
      <c r="E33" s="21"/>
      <c r="F33" s="21" t="s">
        <v>3</v>
      </c>
      <c r="G33" s="9"/>
      <c r="H33" s="9"/>
      <c r="I33" s="40"/>
      <c r="J33" s="40"/>
      <c r="K33" s="40"/>
      <c r="L33" s="40"/>
      <c r="M33" s="40"/>
      <c r="N33" s="15">
        <f t="shared" ref="N33:S33" si="11">N28*2.5</f>
        <v>0</v>
      </c>
      <c r="O33" s="15">
        <f t="shared" si="11"/>
        <v>0</v>
      </c>
      <c r="P33" s="15">
        <f t="shared" si="11"/>
        <v>0</v>
      </c>
      <c r="Q33" s="15">
        <f t="shared" si="11"/>
        <v>0</v>
      </c>
      <c r="R33" s="15">
        <f t="shared" si="11"/>
        <v>0</v>
      </c>
      <c r="S33" s="15" t="e">
        <f t="shared" si="11"/>
        <v>#DIV/0!</v>
      </c>
      <c r="T33" s="40"/>
      <c r="U33" s="34">
        <f t="shared" si="7"/>
        <v>0</v>
      </c>
      <c r="V33" s="34">
        <f t="shared" si="8"/>
        <v>0</v>
      </c>
      <c r="W33" s="34">
        <f t="shared" si="9"/>
        <v>0</v>
      </c>
      <c r="X33" s="16" t="str">
        <f t="shared" si="10"/>
        <v>$</v>
      </c>
      <c r="Y33" s="16" t="str">
        <f t="shared" si="6"/>
        <v>$</v>
      </c>
      <c r="Z33" s="16" t="str">
        <f t="shared" si="6"/>
        <v>$</v>
      </c>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row>
    <row r="34" spans="1:82" s="13" customFormat="1" ht="24" customHeight="1">
      <c r="A34" s="22" t="s">
        <v>20</v>
      </c>
      <c r="B34" s="29"/>
      <c r="C34" s="54" t="str">
        <f>IF($I$36=1,$K$5,"")</f>
        <v/>
      </c>
      <c r="D34" s="38">
        <v>0</v>
      </c>
      <c r="E34" s="23"/>
      <c r="F34" s="24"/>
      <c r="G34" s="9"/>
      <c r="H34" s="20">
        <f>IF(B34="Prepaid Insurance",1,0)</f>
        <v>0</v>
      </c>
      <c r="I34" s="20">
        <f>IF(D34=CF10,1,0)</f>
        <v>1</v>
      </c>
      <c r="J34" s="40"/>
      <c r="K34" s="40"/>
      <c r="L34" s="40"/>
      <c r="M34" s="40"/>
      <c r="N34" s="15">
        <f t="shared" ref="N34:S34" si="12">N29*2.5</f>
        <v>0</v>
      </c>
      <c r="O34" s="15">
        <f t="shared" si="12"/>
        <v>0</v>
      </c>
      <c r="P34" s="15">
        <f t="shared" si="12"/>
        <v>0</v>
      </c>
      <c r="Q34" s="15">
        <f t="shared" si="12"/>
        <v>0</v>
      </c>
      <c r="R34" s="15">
        <f t="shared" si="12"/>
        <v>0</v>
      </c>
      <c r="S34" s="15" t="e">
        <f t="shared" si="12"/>
        <v>#DIV/0!</v>
      </c>
      <c r="T34" s="40"/>
      <c r="U34" s="34">
        <f t="shared" si="7"/>
        <v>0</v>
      </c>
      <c r="V34" s="34">
        <f t="shared" si="8"/>
        <v>0</v>
      </c>
      <c r="W34" s="34">
        <f t="shared" si="9"/>
        <v>0</v>
      </c>
      <c r="X34" s="16" t="str">
        <f t="shared" si="10"/>
        <v>$</v>
      </c>
      <c r="Y34" s="16" t="str">
        <f t="shared" si="6"/>
        <v>$</v>
      </c>
      <c r="Z34" s="16" t="str">
        <f t="shared" si="6"/>
        <v>$</v>
      </c>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row>
    <row r="35" spans="1:82" s="13" customFormat="1" ht="24" customHeight="1">
      <c r="A35" s="25"/>
      <c r="B35" s="30"/>
      <c r="C35" s="23" t="str">
        <f>C34</f>
        <v/>
      </c>
      <c r="D35" s="26"/>
      <c r="E35" s="23"/>
      <c r="F35" s="51">
        <f>D34</f>
        <v>0</v>
      </c>
      <c r="G35" s="9"/>
      <c r="H35" s="20">
        <f>IF(B35="Insurance Expense",1,0)</f>
        <v>0</v>
      </c>
      <c r="I35" s="42"/>
      <c r="J35" s="40"/>
      <c r="K35" s="40"/>
      <c r="L35" s="40"/>
      <c r="M35" s="40"/>
      <c r="N35" s="15">
        <f t="shared" ref="N35:S35" si="13">N30*2.5</f>
        <v>0</v>
      </c>
      <c r="O35" s="15">
        <f t="shared" si="13"/>
        <v>0</v>
      </c>
      <c r="P35" s="15">
        <f t="shared" si="13"/>
        <v>0</v>
      </c>
      <c r="Q35" s="15">
        <f t="shared" si="13"/>
        <v>0</v>
      </c>
      <c r="R35" s="15">
        <f t="shared" si="13"/>
        <v>0</v>
      </c>
      <c r="S35" s="15" t="e">
        <f t="shared" si="13"/>
        <v>#DIV/0!</v>
      </c>
      <c r="T35" s="40"/>
      <c r="U35" s="34">
        <f t="shared" si="7"/>
        <v>0</v>
      </c>
      <c r="V35" s="34">
        <f t="shared" si="8"/>
        <v>0</v>
      </c>
      <c r="W35" s="34">
        <f t="shared" si="9"/>
        <v>0</v>
      </c>
      <c r="X35" s="16" t="str">
        <f t="shared" si="10"/>
        <v>$</v>
      </c>
      <c r="Y35" s="16" t="str">
        <f t="shared" si="6"/>
        <v>$</v>
      </c>
      <c r="Z35" s="16" t="str">
        <f t="shared" si="6"/>
        <v>$</v>
      </c>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row>
    <row r="36" spans="1:82" s="13" customFormat="1" ht="24" customHeight="1">
      <c r="A36" s="25"/>
      <c r="B36" s="27" t="s">
        <v>28</v>
      </c>
      <c r="C36" s="27"/>
      <c r="D36" s="28"/>
      <c r="E36" s="28"/>
      <c r="F36" s="28"/>
      <c r="G36" s="9"/>
      <c r="H36" s="42"/>
      <c r="I36" s="42">
        <f>H34*H35*I34</f>
        <v>0</v>
      </c>
      <c r="J36" s="40"/>
      <c r="K36" s="40"/>
      <c r="L36" s="40"/>
      <c r="M36" s="40"/>
      <c r="N36" s="15">
        <f t="shared" ref="N36:S36" si="14">N31*2.5</f>
        <v>0</v>
      </c>
      <c r="O36" s="15">
        <f t="shared" si="14"/>
        <v>0</v>
      </c>
      <c r="P36" s="15">
        <f t="shared" si="14"/>
        <v>0</v>
      </c>
      <c r="Q36" s="15">
        <f t="shared" si="14"/>
        <v>0</v>
      </c>
      <c r="R36" s="15">
        <f t="shared" si="14"/>
        <v>0</v>
      </c>
      <c r="S36" s="15">
        <f t="shared" si="14"/>
        <v>0</v>
      </c>
      <c r="T36" s="40"/>
      <c r="U36" s="33"/>
      <c r="V36" s="33"/>
      <c r="W36" s="33"/>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row>
    <row r="37" spans="1:82" s="13" customFormat="1" ht="24" customHeight="1">
      <c r="A37" s="9"/>
      <c r="B37" s="9"/>
      <c r="C37" s="9"/>
      <c r="D37" s="14"/>
      <c r="E37" s="9"/>
      <c r="F37" s="12"/>
      <c r="G37" s="9"/>
      <c r="H37" s="9"/>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row>
    <row r="38" spans="1:82" s="13" customFormat="1" ht="63.75" customHeight="1">
      <c r="A38" s="49" t="s">
        <v>29</v>
      </c>
      <c r="B38" s="49" t="str">
        <f>DE2</f>
        <v>The company began the year with $40,000 of supplies inventory, purchased an additional $75,000 (which was recored as Supplies), and ended the year with $25,000.</v>
      </c>
      <c r="C38" s="49"/>
      <c r="D38" s="42"/>
      <c r="E38" s="42"/>
      <c r="F38" s="42"/>
      <c r="G38" s="9"/>
      <c r="H38" s="9"/>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row>
    <row r="39" spans="1:82" s="13" customFormat="1" ht="24" customHeight="1">
      <c r="A39" s="18" t="s">
        <v>7</v>
      </c>
      <c r="B39" s="18"/>
      <c r="C39" s="18"/>
      <c r="D39" s="18"/>
      <c r="E39" s="18"/>
      <c r="F39" s="19" t="s">
        <v>6</v>
      </c>
      <c r="G39" s="9"/>
      <c r="H39" s="9"/>
      <c r="I39" s="40"/>
      <c r="J39" s="40"/>
      <c r="K39" s="33">
        <v>0</v>
      </c>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row>
    <row r="40" spans="1:82" s="13" customFormat="1" ht="24" customHeight="1">
      <c r="A40" s="21" t="s">
        <v>0</v>
      </c>
      <c r="B40" s="21" t="s">
        <v>1</v>
      </c>
      <c r="C40" s="21"/>
      <c r="D40" s="21" t="s">
        <v>2</v>
      </c>
      <c r="E40" s="21"/>
      <c r="F40" s="21" t="s">
        <v>3</v>
      </c>
      <c r="G40" s="9"/>
      <c r="H40" s="9"/>
      <c r="I40" s="40"/>
      <c r="J40" s="40"/>
      <c r="K40" s="33">
        <v>65000</v>
      </c>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row>
    <row r="41" spans="1:82" s="13" customFormat="1" ht="24" customHeight="1">
      <c r="A41" s="22" t="s">
        <v>20</v>
      </c>
      <c r="B41" s="29"/>
      <c r="C41" s="54" t="str">
        <f>IF($I$43=1,$K$5,"")</f>
        <v/>
      </c>
      <c r="D41" s="38">
        <v>0</v>
      </c>
      <c r="E41" s="23"/>
      <c r="F41" s="24"/>
      <c r="G41" s="9"/>
      <c r="H41" s="20">
        <f>IF(B41="Supplies Expense",1,0)</f>
        <v>0</v>
      </c>
      <c r="I41" s="20">
        <f>IF(D41=CW21,1,0)</f>
        <v>0</v>
      </c>
      <c r="J41" s="40"/>
      <c r="K41" s="33">
        <v>70000</v>
      </c>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row>
    <row r="42" spans="1:82" ht="24" customHeight="1">
      <c r="A42" s="25"/>
      <c r="B42" s="30"/>
      <c r="C42" s="23" t="str">
        <f>C41</f>
        <v/>
      </c>
      <c r="D42" s="26"/>
      <c r="E42" s="23"/>
      <c r="F42" s="51">
        <f>D41</f>
        <v>0</v>
      </c>
      <c r="G42" s="9"/>
      <c r="H42" s="20">
        <f>IF(B42="Supplies",1,0)</f>
        <v>0</v>
      </c>
      <c r="I42" s="42"/>
      <c r="K42" s="39">
        <v>75000</v>
      </c>
    </row>
    <row r="43" spans="1:82" ht="24" customHeight="1">
      <c r="A43" s="25"/>
      <c r="B43" s="27" t="s">
        <v>31</v>
      </c>
      <c r="C43" s="27"/>
      <c r="D43" s="28"/>
      <c r="E43" s="28"/>
      <c r="F43" s="28"/>
      <c r="G43" s="9"/>
      <c r="H43" s="42"/>
      <c r="I43" s="42">
        <f>H41*H42*I41</f>
        <v>0</v>
      </c>
      <c r="K43" s="39">
        <v>80000</v>
      </c>
    </row>
    <row r="44" spans="1:82" ht="24" customHeight="1">
      <c r="A44" s="9"/>
      <c r="B44" s="9"/>
      <c r="C44" s="9"/>
      <c r="D44" s="14"/>
      <c r="E44" s="9"/>
      <c r="F44" s="12"/>
      <c r="K44" s="39">
        <v>85000</v>
      </c>
    </row>
    <row r="45" spans="1:82" ht="52.5" customHeight="1">
      <c r="A45" s="49" t="s">
        <v>30</v>
      </c>
      <c r="B45" s="49" t="e">
        <f>CONCATENATE("As of December 31, accrued interest on loans owed by "&amp;Identification!B1&amp;" is "&amp;W22&amp;".")</f>
        <v>#VALUE!</v>
      </c>
      <c r="C45" s="49"/>
      <c r="D45" s="42"/>
      <c r="E45" s="42"/>
      <c r="F45" s="42"/>
      <c r="K45" s="39">
        <v>90000</v>
      </c>
      <c r="N45" s="10">
        <v>0</v>
      </c>
    </row>
    <row r="46" spans="1:82" ht="24" customHeight="1">
      <c r="A46" s="18" t="s">
        <v>7</v>
      </c>
      <c r="B46" s="18"/>
      <c r="C46" s="18"/>
      <c r="D46" s="18"/>
      <c r="E46" s="18"/>
      <c r="F46" s="19" t="s">
        <v>6</v>
      </c>
      <c r="N46" s="39" t="e">
        <f>N47*0.8</f>
        <v>#VALUE!</v>
      </c>
    </row>
    <row r="47" spans="1:82" ht="24" customHeight="1">
      <c r="A47" s="21" t="s">
        <v>0</v>
      </c>
      <c r="B47" s="21" t="s">
        <v>1</v>
      </c>
      <c r="C47" s="21"/>
      <c r="D47" s="21" t="s">
        <v>2</v>
      </c>
      <c r="E47" s="21"/>
      <c r="F47" s="21" t="s">
        <v>3</v>
      </c>
      <c r="N47" s="39" t="e">
        <f>P47*1</f>
        <v>#VALUE!</v>
      </c>
      <c r="P47" s="10" t="e">
        <f>W22</f>
        <v>#VALUE!</v>
      </c>
    </row>
    <row r="48" spans="1:82" ht="24" customHeight="1">
      <c r="A48" s="22" t="s">
        <v>20</v>
      </c>
      <c r="B48" s="29"/>
      <c r="C48" s="54" t="e">
        <f>IF($I$50=1,$K$5,"")</f>
        <v>#VALUE!</v>
      </c>
      <c r="D48" s="38">
        <v>0</v>
      </c>
      <c r="E48" s="23"/>
      <c r="F48" s="24"/>
      <c r="H48" s="20">
        <f>IF(B48="Interest Expense",1,0)</f>
        <v>0</v>
      </c>
      <c r="I48" s="20" t="e">
        <f>IF(D48=N47,1,0)</f>
        <v>#VALUE!</v>
      </c>
      <c r="N48" s="39" t="e">
        <f>N47*1.1</f>
        <v>#VALUE!</v>
      </c>
    </row>
    <row r="49" spans="1:16" ht="24" customHeight="1">
      <c r="A49" s="25"/>
      <c r="B49" s="30"/>
      <c r="C49" s="23" t="e">
        <f>C48</f>
        <v>#VALUE!</v>
      </c>
      <c r="D49" s="26"/>
      <c r="E49" s="23"/>
      <c r="F49" s="51">
        <f>D48</f>
        <v>0</v>
      </c>
      <c r="G49" s="42"/>
      <c r="H49" s="20">
        <f>IF(B49="Interest Payable",1,0)</f>
        <v>0</v>
      </c>
      <c r="I49" s="42"/>
      <c r="N49" s="39" t="e">
        <f>N48*1.5</f>
        <v>#VALUE!</v>
      </c>
    </row>
    <row r="50" spans="1:16" ht="24" customHeight="1">
      <c r="A50" s="25"/>
      <c r="B50" s="27" t="s">
        <v>32</v>
      </c>
      <c r="C50" s="27"/>
      <c r="D50" s="28"/>
      <c r="E50" s="28"/>
      <c r="F50" s="28"/>
      <c r="G50" s="42"/>
      <c r="H50" s="42"/>
      <c r="I50" s="42" t="e">
        <f>H48*H49*I48</f>
        <v>#VALUE!</v>
      </c>
    </row>
    <row r="51" spans="1:16" ht="64.5" customHeight="1">
      <c r="A51" s="49"/>
      <c r="B51" s="49"/>
      <c r="C51" s="49"/>
      <c r="D51" s="42"/>
      <c r="E51" s="42"/>
      <c r="F51" s="42"/>
      <c r="G51" s="42"/>
    </row>
    <row r="52" spans="1:16" hidden="1">
      <c r="A52" s="49"/>
      <c r="B52" s="42"/>
      <c r="C52" s="49"/>
      <c r="D52" s="42"/>
      <c r="E52" s="42"/>
      <c r="F52" s="42"/>
      <c r="G52" s="42"/>
    </row>
    <row r="53" spans="1:16" hidden="1">
      <c r="A53" s="49"/>
      <c r="B53" s="49"/>
      <c r="C53" s="49"/>
      <c r="D53" s="42"/>
      <c r="E53" s="42"/>
      <c r="F53" s="42"/>
      <c r="G53" s="42"/>
    </row>
    <row r="54" spans="1:16" hidden="1">
      <c r="A54" s="49"/>
      <c r="B54" s="49"/>
      <c r="C54" s="49"/>
      <c r="D54" s="42"/>
      <c r="E54" s="42"/>
      <c r="F54" s="42"/>
      <c r="G54" s="42"/>
    </row>
    <row r="55" spans="1:16" hidden="1">
      <c r="A55" s="49"/>
      <c r="B55" s="49"/>
      <c r="C55" s="49"/>
      <c r="D55" s="42"/>
      <c r="E55" s="42"/>
      <c r="F55" s="42"/>
      <c r="G55" s="42"/>
    </row>
    <row r="56" spans="1:16" hidden="1">
      <c r="A56" s="60"/>
      <c r="B56" s="60"/>
      <c r="C56" s="49"/>
      <c r="D56" s="42"/>
      <c r="E56" s="42"/>
      <c r="F56" s="42"/>
      <c r="G56" s="42"/>
    </row>
    <row r="57" spans="1:16" hidden="1">
      <c r="A57" s="61"/>
      <c r="B57" s="61"/>
      <c r="C57" s="61"/>
      <c r="D57" s="61"/>
      <c r="E57" s="61"/>
      <c r="F57" s="61"/>
      <c r="G57" s="62"/>
    </row>
    <row r="58" spans="1:16" hidden="1">
      <c r="A58" s="9"/>
      <c r="B58" s="49"/>
      <c r="C58" s="11"/>
      <c r="D58" s="12"/>
      <c r="E58" s="9"/>
      <c r="F58" s="9"/>
      <c r="G58" s="9"/>
    </row>
    <row r="59" spans="1:16" hidden="1"/>
    <row r="60" spans="1:16" hidden="1"/>
    <row r="61" spans="1:16" hidden="1"/>
    <row r="62" spans="1:16" hidden="1"/>
    <row r="63" spans="1:16" hidden="1">
      <c r="P63" s="42" t="s">
        <v>33</v>
      </c>
    </row>
    <row r="64" spans="1:16" hidden="1">
      <c r="P64" s="42" t="s">
        <v>34</v>
      </c>
    </row>
    <row r="65" spans="16:16" hidden="1">
      <c r="P65" s="42" t="s">
        <v>46</v>
      </c>
    </row>
    <row r="66" spans="16:16" hidden="1">
      <c r="P66" s="42" t="s">
        <v>35</v>
      </c>
    </row>
    <row r="67" spans="16:16" hidden="1">
      <c r="P67" s="42" t="s">
        <v>36</v>
      </c>
    </row>
    <row r="68" spans="16:16" hidden="1">
      <c r="P68" s="42" t="s">
        <v>37</v>
      </c>
    </row>
    <row r="69" spans="16:16" hidden="1">
      <c r="P69" s="42" t="s">
        <v>38</v>
      </c>
    </row>
    <row r="70" spans="16:16" hidden="1">
      <c r="P70" s="42" t="s">
        <v>39</v>
      </c>
    </row>
    <row r="71" spans="16:16" hidden="1">
      <c r="P71" s="42" t="s">
        <v>40</v>
      </c>
    </row>
    <row r="72" spans="16:16" hidden="1">
      <c r="P72" s="42" t="s">
        <v>41</v>
      </c>
    </row>
    <row r="73" spans="16:16" hidden="1">
      <c r="P73" s="42" t="s">
        <v>42</v>
      </c>
    </row>
    <row r="74" spans="16:16" hidden="1">
      <c r="P74" s="42" t="s">
        <v>45</v>
      </c>
    </row>
    <row r="75" spans="16:16" hidden="1">
      <c r="P75" s="42" t="s">
        <v>43</v>
      </c>
    </row>
    <row r="76" spans="16:16" hidden="1">
      <c r="P76" s="42" t="s">
        <v>44</v>
      </c>
    </row>
  </sheetData>
  <sheetProtection algorithmName="SHA-512" hashValue="yN+HIypJKAu03Wg/C8/0T61lEFZnG4f3pxRDPIPEfkX3mfRhgdAHDFQye9ZkOP+w0cgEUpU7DwPTqgqO/githA==" saltValue="xVTvBfqC4zgF68tK6vp/Fg==" spinCount="100000" sheet="1" objects="1" scenarios="1"/>
  <mergeCells count="5">
    <mergeCell ref="A56:B56"/>
    <mergeCell ref="A57:G57"/>
    <mergeCell ref="A2:F2"/>
    <mergeCell ref="A3:F3"/>
    <mergeCell ref="B4:F4"/>
  </mergeCells>
  <phoneticPr fontId="2" type="noConversion"/>
  <dataValidations count="8">
    <dataValidation type="list" allowBlank="1" showInputMessage="1" showErrorMessage="1" sqref="B48:B49 B7:B8 B14:B15 B21:B22 B27:B28 B41:B42 B34:B35">
      <formula1 xml:space="preserve"> accounts</formula1>
    </dataValidation>
    <dataValidation type="list" allowBlank="1" showInputMessage="1" showErrorMessage="1" sqref="D14">
      <formula1>$S$11:$S$17</formula1>
    </dataValidation>
    <dataValidation type="list" allowBlank="1" showInputMessage="1" showErrorMessage="1" sqref="D7">
      <formula1>$S$3:$S$9</formula1>
    </dataValidation>
    <dataValidation type="list" allowBlank="1" showInputMessage="1" showErrorMessage="1" sqref="D21">
      <formula1>$K$21:$K$27</formula1>
    </dataValidation>
    <dataValidation type="list" allowBlank="1" showInputMessage="1" showErrorMessage="1" sqref="D27">
      <formula1>$AC$23:$AC$29</formula1>
    </dataValidation>
    <dataValidation type="list" allowBlank="1" showInputMessage="1" showErrorMessage="1" sqref="D34">
      <formula1>$CE$3:$CE$9</formula1>
    </dataValidation>
    <dataValidation type="list" allowBlank="1" showInputMessage="1" showErrorMessage="1" sqref="D41">
      <formula1>$K$39:$K$45</formula1>
    </dataValidation>
    <dataValidation type="list" allowBlank="1" showInputMessage="1" showErrorMessage="1" sqref="D48">
      <formula1>$N$45:$N$49</formula1>
    </dataValidation>
  </dataValidations>
  <pageMargins left="0.75" right="0.75" top="1.75" bottom="1" header="0.75" footer="0.5"/>
  <pageSetup orientation="portrait" r:id="rId1"/>
  <headerFooter alignWithMargins="0">
    <oddHeader>&amp;R&amp;"Myriad Web Pro,Bold"&amp;20I-02.04</oddHeader>
  </headerFooter>
  <ignoredErrors>
    <ignoredError sqref="C14 C21"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Identification</vt:lpstr>
      <vt:lpstr>Problem</vt:lpstr>
      <vt:lpstr>accounts</vt:lpstr>
    </vt:vector>
  </TitlesOfParts>
  <Company>UTA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cp:lastPrinted>2013-03-26T15:10:11Z</cp:lastPrinted>
  <dcterms:created xsi:type="dcterms:W3CDTF">2007-01-29T16:43:50Z</dcterms:created>
  <dcterms:modified xsi:type="dcterms:W3CDTF">2016-08-30T21:31:58Z</dcterms:modified>
</cp:coreProperties>
</file>