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rry\Desktop\"/>
    </mc:Choice>
  </mc:AlternateContent>
  <workbookProtection workbookAlgorithmName="SHA-512" workbookHashValue="AGeFhsWv/C189EbXrEGuQIXtCvUkPYqcj1rstuU0WshuC/7BgEbgWn0J0t+RZuxVhao2WypgmtlywHIpkr1pCQ==" workbookSaltValue="neI/yevQpDP9lCQCc0fvfw==" workbookSpinCount="100000" lockStructure="1"/>
  <bookViews>
    <workbookView xWindow="0" yWindow="0" windowWidth="28800" windowHeight="11700"/>
  </bookViews>
  <sheets>
    <sheet name="Identification" sheetId="1" r:id="rId1"/>
    <sheet name="Problem" sheetId="2" r:id="rId2"/>
  </sheets>
  <definedNames>
    <definedName name="account">Problem!$U$23:$U$29</definedName>
    <definedName name="account2">Problem!#REF!</definedName>
    <definedName name="accounts">Problem!$U$23:$U$29</definedName>
    <definedName name="amortvalues">Problem!$U$52:$U$62</definedName>
    <definedName name="format">Problem!$U$5:$U$19</definedName>
    <definedName name="JEvalues">Problem!$U$31:$U$49</definedName>
    <definedName name="Value">Problem!#REF!</definedName>
    <definedName name="value2">Problem!#REF!</definedName>
  </definedNames>
  <calcPr calcId="162913"/>
</workbook>
</file>

<file path=xl/calcChain.xml><?xml version="1.0" encoding="utf-8"?>
<calcChain xmlns="http://schemas.openxmlformats.org/spreadsheetml/2006/main">
  <c r="M93" i="2" l="1"/>
  <c r="K93" i="2"/>
  <c r="E93" i="2"/>
  <c r="X3" i="2" l="1"/>
  <c r="AM108" i="2" l="1"/>
  <c r="AM107" i="2"/>
  <c r="AM102" i="2"/>
  <c r="AM101" i="2"/>
  <c r="AM84" i="2"/>
  <c r="AM83" i="2"/>
  <c r="AM78" i="2"/>
  <c r="AM77" i="2"/>
  <c r="AM64" i="2"/>
  <c r="AM63" i="2"/>
  <c r="AM56" i="2"/>
  <c r="AM55" i="2"/>
  <c r="K72" i="2" l="1"/>
  <c r="K71" i="2"/>
  <c r="K49" i="2"/>
  <c r="K50" i="2"/>
  <c r="K51" i="2"/>
  <c r="K48" i="2"/>
  <c r="U28" i="2"/>
  <c r="U29" i="2"/>
  <c r="U26" i="2"/>
  <c r="U27" i="2"/>
  <c r="U24" i="2"/>
  <c r="U25" i="2"/>
  <c r="U11" i="2"/>
  <c r="U17" i="2"/>
  <c r="U10" i="2"/>
  <c r="U18" i="2"/>
  <c r="U9" i="2"/>
  <c r="U16" i="2"/>
  <c r="U8" i="2"/>
  <c r="U7" i="2"/>
  <c r="U14" i="2"/>
  <c r="U6" i="2"/>
  <c r="U19" i="2"/>
  <c r="U13" i="2"/>
  <c r="U15" i="2"/>
  <c r="U12" i="2"/>
  <c r="K20" i="2"/>
  <c r="K21" i="2"/>
  <c r="K19" i="2"/>
  <c r="I20" i="2"/>
  <c r="I21" i="2"/>
  <c r="I19" i="2"/>
  <c r="C87" i="2"/>
  <c r="C66" i="2"/>
  <c r="C42" i="2"/>
  <c r="C36" i="2"/>
  <c r="B23" i="2"/>
  <c r="B5" i="2"/>
  <c r="E12" i="2"/>
  <c r="E9" i="2"/>
  <c r="AA12" i="2" l="1"/>
  <c r="AA9" i="2"/>
  <c r="B3" i="2"/>
  <c r="B19" i="1" l="1"/>
  <c r="G71" i="1" s="1"/>
  <c r="AT2" i="2" s="1"/>
  <c r="B16" i="1"/>
  <c r="B17" i="1" s="1"/>
  <c r="B13" i="1"/>
  <c r="B14" i="1" s="1"/>
  <c r="B10" i="1"/>
  <c r="B11" i="1" s="1"/>
  <c r="B8" i="1"/>
  <c r="B9" i="1" s="1"/>
  <c r="B20" i="1" l="1"/>
  <c r="B21" i="1" s="1"/>
  <c r="B12" i="1"/>
  <c r="B18" i="1"/>
  <c r="E71" i="1"/>
  <c r="B15" i="1"/>
  <c r="G72" i="1"/>
  <c r="AT3" i="2" s="1"/>
  <c r="F71" i="1"/>
  <c r="B23" i="1" l="1"/>
  <c r="F72" i="1"/>
  <c r="AS3" i="2" s="1"/>
  <c r="AS2" i="2"/>
  <c r="E72" i="1"/>
  <c r="AR3" i="2" s="1"/>
  <c r="AR2" i="2"/>
  <c r="AR8" i="2" s="1"/>
  <c r="C69" i="1" l="1"/>
  <c r="D71" i="1"/>
  <c r="D72" i="1" s="1"/>
  <c r="C52" i="1"/>
  <c r="C64" i="1"/>
  <c r="C32" i="1"/>
  <c r="C59" i="1"/>
  <c r="C46" i="1"/>
  <c r="C44" i="1"/>
  <c r="C38" i="1"/>
  <c r="C56" i="1"/>
  <c r="C60" i="1"/>
  <c r="C62" i="1"/>
  <c r="C36" i="1"/>
  <c r="C57" i="1"/>
  <c r="C68" i="1"/>
  <c r="C70" i="1"/>
  <c r="C51" i="1"/>
  <c r="C34" i="1"/>
  <c r="C41" i="1"/>
  <c r="C31" i="1"/>
  <c r="C33" i="1"/>
  <c r="C29" i="1"/>
  <c r="C39" i="1"/>
  <c r="C42" i="1"/>
  <c r="C65" i="1"/>
  <c r="C45" i="1"/>
  <c r="C55" i="1"/>
  <c r="C50" i="1"/>
  <c r="C27" i="1"/>
  <c r="C53" i="1"/>
  <c r="C63" i="1"/>
  <c r="C66" i="1"/>
  <c r="C35" i="1"/>
  <c r="C30" i="1"/>
  <c r="C47" i="1"/>
  <c r="C26" i="1"/>
  <c r="C48" i="1"/>
  <c r="C43" i="1"/>
  <c r="C37" i="1"/>
  <c r="C54" i="1"/>
  <c r="C67" i="1"/>
  <c r="C61" i="1"/>
  <c r="C40" i="1"/>
  <c r="C58" i="1"/>
  <c r="C49" i="1"/>
  <c r="C28" i="1"/>
  <c r="AQ2" i="2" l="1"/>
  <c r="AQ8" i="2" s="1"/>
  <c r="C71" i="1"/>
  <c r="C72" i="1"/>
  <c r="AQ3" i="2"/>
  <c r="H71" i="1" l="1"/>
  <c r="H72" i="1" s="1"/>
  <c r="AU3" i="2" s="1"/>
  <c r="AP2" i="2"/>
  <c r="AT9" i="2" s="1"/>
  <c r="AU9" i="2" s="1"/>
  <c r="AO9" i="2" s="1"/>
  <c r="X16" i="2" s="1"/>
  <c r="AP3" i="2"/>
  <c r="C73" i="1"/>
  <c r="AP4" i="2" s="1"/>
  <c r="AP10" i="2" s="1"/>
  <c r="AU2" i="2" l="1"/>
  <c r="G47" i="2"/>
  <c r="G51" i="2"/>
  <c r="X90" i="2"/>
  <c r="B90" i="2" s="1"/>
  <c r="AC48" i="2"/>
  <c r="AC19" i="2"/>
  <c r="G19" i="2" s="1"/>
  <c r="AC21" i="2"/>
  <c r="G21" i="2" s="1"/>
  <c r="G72" i="2"/>
  <c r="AC50" i="2"/>
  <c r="G70" i="2"/>
  <c r="AC72" i="2"/>
  <c r="B16" i="2"/>
  <c r="AC70" i="2"/>
  <c r="AC51" i="2"/>
  <c r="G50" i="2"/>
  <c r="G48" i="2"/>
  <c r="AC71" i="2"/>
  <c r="G71" i="2"/>
  <c r="G49" i="2"/>
  <c r="AC49" i="2"/>
  <c r="AE93" i="2"/>
  <c r="I93" i="2" s="1"/>
  <c r="AC20" i="2"/>
  <c r="G20" i="2" s="1"/>
  <c r="AC47" i="2"/>
  <c r="AP8" i="2"/>
  <c r="AR9" i="2"/>
  <c r="AP9" i="2"/>
  <c r="AQ9" i="2"/>
  <c r="H73" i="1"/>
  <c r="AU4" i="2" s="1"/>
  <c r="D73" i="1"/>
  <c r="AQ4" i="2" s="1"/>
  <c r="AQ10" i="2" s="1"/>
  <c r="F73" i="1"/>
  <c r="AS4" i="2" s="1"/>
  <c r="C74" i="1"/>
  <c r="AP5" i="2" s="1"/>
  <c r="G73" i="1"/>
  <c r="AT4" i="2" s="1"/>
  <c r="E73" i="1"/>
  <c r="AR4" i="2" s="1"/>
  <c r="AR10" i="2" s="1"/>
  <c r="AQ11" i="2" l="1"/>
  <c r="AR11" i="2"/>
  <c r="AS11" i="2" s="1"/>
  <c r="AT11" i="2" s="1"/>
  <c r="AU11" i="2" s="1"/>
  <c r="AA19" i="2" s="1"/>
  <c r="E19" i="2" s="1"/>
  <c r="AP11" i="2"/>
  <c r="H74" i="1"/>
  <c r="AU5" i="2" s="1"/>
  <c r="F74" i="1"/>
  <c r="AS5" i="2" s="1"/>
  <c r="G74" i="1"/>
  <c r="AT5" i="2" s="1"/>
  <c r="D74" i="1"/>
  <c r="AQ5" i="2" s="1"/>
  <c r="E74" i="1"/>
  <c r="AR5" i="2" s="1"/>
  <c r="AC93" i="2" l="1"/>
  <c r="Y30" i="2"/>
  <c r="C30" i="2" s="1"/>
  <c r="AE33" i="2"/>
  <c r="AE39" i="2"/>
  <c r="AG40" i="2" s="1"/>
  <c r="AG28" i="2"/>
  <c r="AE27" i="2"/>
  <c r="U47" i="2" s="1"/>
  <c r="AI19" i="2"/>
  <c r="M19" i="2" s="1"/>
  <c r="AA21" i="2"/>
  <c r="AA20" i="2"/>
  <c r="AE114" i="2" l="1"/>
  <c r="AG115" i="2" s="1"/>
  <c r="G93" i="2"/>
  <c r="C104" i="2" s="1"/>
  <c r="AG34" i="2"/>
  <c r="U36" i="2"/>
  <c r="Y59" i="2"/>
  <c r="C59" i="2" s="1"/>
  <c r="E20" i="2"/>
  <c r="Y80" i="2"/>
  <c r="C80" i="2" s="1"/>
  <c r="E21" i="2"/>
  <c r="AG109" i="2"/>
  <c r="U35" i="2" s="1"/>
  <c r="AG102" i="2"/>
  <c r="AE107" i="2"/>
  <c r="AN107" i="2" s="1"/>
  <c r="T107" i="2" s="1"/>
  <c r="AE100" i="2"/>
  <c r="U45" i="2" s="1"/>
  <c r="Y104" i="2"/>
  <c r="AG78" i="2"/>
  <c r="AI21" i="2"/>
  <c r="M21" i="2" s="1"/>
  <c r="X70" i="2"/>
  <c r="AG57" i="2"/>
  <c r="U46" i="2" s="1"/>
  <c r="X47" i="2"/>
  <c r="AI20" i="2"/>
  <c r="AN78" i="2" l="1"/>
  <c r="T77" i="2" s="1"/>
  <c r="U48" i="2"/>
  <c r="AN102" i="2"/>
  <c r="T101" i="2" s="1"/>
  <c r="U43" i="2"/>
  <c r="B47" i="2"/>
  <c r="AA47" i="2"/>
  <c r="U59" i="2" s="1"/>
  <c r="M20" i="2"/>
  <c r="B70" i="2"/>
  <c r="AG101" i="2"/>
  <c r="AA70" i="2"/>
  <c r="AE76" i="2"/>
  <c r="AG70" i="2"/>
  <c r="AG71" i="2"/>
  <c r="AG72" i="2"/>
  <c r="AE55" i="2"/>
  <c r="AG49" i="2"/>
  <c r="AG50" i="2"/>
  <c r="AG51" i="2"/>
  <c r="AG48" i="2"/>
  <c r="AG47" i="2"/>
  <c r="U55" i="2" s="1"/>
  <c r="AE56" i="2"/>
  <c r="AN56" i="2" l="1"/>
  <c r="T56" i="2" s="1"/>
  <c r="U39" i="2"/>
  <c r="AN55" i="2"/>
  <c r="T55" i="2" s="1"/>
  <c r="U44" i="2"/>
  <c r="AG77" i="2"/>
  <c r="U49" i="2"/>
  <c r="AE70" i="2"/>
  <c r="U62" i="2"/>
  <c r="AG85" i="2"/>
  <c r="U42" i="2" s="1"/>
  <c r="U58" i="2"/>
  <c r="AE108" i="2"/>
  <c r="AN108" i="2" s="1"/>
  <c r="T108" i="2" s="1"/>
  <c r="AN101" i="2"/>
  <c r="T102" i="2" s="1"/>
  <c r="U33" i="2"/>
  <c r="AG64" i="2"/>
  <c r="AE47" i="2"/>
  <c r="AE62" i="2" l="1"/>
  <c r="U40" i="2" s="1"/>
  <c r="U56" i="2"/>
  <c r="AN64" i="2"/>
  <c r="T64" i="2" s="1"/>
  <c r="U38" i="2"/>
  <c r="AE83" i="2"/>
  <c r="U57" i="2"/>
  <c r="AN77" i="2"/>
  <c r="T78" i="2" s="1"/>
  <c r="U37" i="2"/>
  <c r="AI70" i="2"/>
  <c r="U54" i="2" s="1"/>
  <c r="E71" i="2"/>
  <c r="I71" i="2" s="1"/>
  <c r="AK70" i="2"/>
  <c r="AE84" i="2"/>
  <c r="AI47" i="2"/>
  <c r="U53" i="2" s="1"/>
  <c r="AN83" i="2" l="1"/>
  <c r="T83" i="2" s="1"/>
  <c r="U41" i="2"/>
  <c r="AN84" i="2"/>
  <c r="T84" i="2" s="1"/>
  <c r="U34" i="2"/>
  <c r="AA71" i="2"/>
  <c r="AE71" i="2" s="1"/>
  <c r="AI71" i="2" s="1"/>
  <c r="U61" i="2"/>
  <c r="E48" i="2"/>
  <c r="M71" i="2"/>
  <c r="O71" i="2" s="1"/>
  <c r="E72" i="2" s="1"/>
  <c r="AG63" i="2"/>
  <c r="AK47" i="2"/>
  <c r="AA48" i="2" l="1"/>
  <c r="U60" i="2"/>
  <c r="AN63" i="2"/>
  <c r="T63" i="2" s="1"/>
  <c r="U32" i="2"/>
  <c r="AK71" i="2"/>
  <c r="AA72" i="2" s="1"/>
  <c r="AE72" i="2" s="1"/>
  <c r="AI72" i="2" s="1"/>
  <c r="AK72" i="2" s="1"/>
  <c r="I48" i="2"/>
  <c r="M48" i="2" s="1"/>
  <c r="O48" i="2" s="1"/>
  <c r="E49" i="2" s="1"/>
  <c r="I49" i="2" s="1"/>
  <c r="M49" i="2" s="1"/>
  <c r="O49" i="2" s="1"/>
  <c r="E50" i="2" s="1"/>
  <c r="I72" i="2"/>
  <c r="M72" i="2" s="1"/>
  <c r="O72" i="2" s="1"/>
  <c r="AE48" i="2"/>
  <c r="AI48" i="2" s="1"/>
  <c r="AK48" i="2" s="1"/>
  <c r="AA49" i="2" s="1"/>
  <c r="I50" i="2" l="1"/>
  <c r="M50" i="2" s="1"/>
  <c r="O50" i="2" s="1"/>
  <c r="E51" i="2" s="1"/>
  <c r="AE49" i="2"/>
  <c r="AI49" i="2" s="1"/>
  <c r="AK49" i="2" s="1"/>
  <c r="AA50" i="2" s="1"/>
  <c r="AE50" i="2" s="1"/>
  <c r="AI50" i="2" s="1"/>
  <c r="AK50" i="2" s="1"/>
  <c r="AA51" i="2" s="1"/>
  <c r="I51" i="2" l="1"/>
  <c r="M51" i="2" s="1"/>
  <c r="O51" i="2" s="1"/>
  <c r="AE51" i="2"/>
  <c r="AI51" i="2" s="1"/>
  <c r="AK51" i="2" s="1"/>
</calcChain>
</file>

<file path=xl/sharedStrings.xml><?xml version="1.0" encoding="utf-8"?>
<sst xmlns="http://schemas.openxmlformats.org/spreadsheetml/2006/main" count="281" uniqueCount="80">
  <si>
    <t>Student Name:</t>
  </si>
  <si>
    <t>5 Digit Identification Number:</t>
  </si>
  <si>
    <t>Date:</t>
  </si>
  <si>
    <t>Random Number</t>
  </si>
  <si>
    <t>Randon numbers</t>
  </si>
  <si>
    <t>A)</t>
  </si>
  <si>
    <t>Beginning of Period Net Book Value of Bonds Payable</t>
  </si>
  <si>
    <t>Interest Expense</t>
  </si>
  <si>
    <t>Amount of Payment</t>
  </si>
  <si>
    <t>Discount/Premium Amortization</t>
  </si>
  <si>
    <t>End of Period NBV</t>
  </si>
  <si>
    <t>E</t>
  </si>
  <si>
    <t>G</t>
  </si>
  <si>
    <t>I</t>
  </si>
  <si>
    <t>K</t>
  </si>
  <si>
    <t>PREMIUM</t>
  </si>
  <si>
    <t>DISCOUNT</t>
  </si>
  <si>
    <t>**** may need better instructions</t>
  </si>
  <si>
    <t>Date</t>
  </si>
  <si>
    <t>12/31/X1</t>
  </si>
  <si>
    <t>12/31/X2</t>
  </si>
  <si>
    <t>M</t>
  </si>
  <si>
    <t>O</t>
  </si>
  <si>
    <t xml:space="preserve">Market Rate </t>
  </si>
  <si>
    <t xml:space="preserve"> =E9*G9</t>
  </si>
  <si>
    <t xml:space="preserve"> =I9-K9</t>
  </si>
  <si>
    <t xml:space="preserve"> =E9+M9</t>
  </si>
  <si>
    <t xml:space="preserve"> =O9</t>
  </si>
  <si>
    <t xml:space="preserve"> =I10-K10</t>
  </si>
  <si>
    <t xml:space="preserve"> =E10+M10</t>
  </si>
  <si>
    <t xml:space="preserve"> =E12*G12</t>
  </si>
  <si>
    <t xml:space="preserve"> =E10*G10</t>
  </si>
  <si>
    <t xml:space="preserve"> =E13*G13</t>
  </si>
  <si>
    <t xml:space="preserve"> =K12-I12</t>
  </si>
  <si>
    <t xml:space="preserve"> =E12-M12</t>
  </si>
  <si>
    <t xml:space="preserve"> =E13-M13</t>
  </si>
  <si>
    <t xml:space="preserve"> =K13-I13</t>
  </si>
  <si>
    <t xml:space="preserve"> =O12</t>
  </si>
  <si>
    <t>B)</t>
  </si>
  <si>
    <t>**this number will be between 1,000 and 10,000</t>
  </si>
  <si>
    <t>Face Amount</t>
  </si>
  <si>
    <t>Coupon Rate</t>
  </si>
  <si>
    <t>Mkt Rate</t>
  </si>
  <si>
    <t>Semi-Annual</t>
  </si>
  <si>
    <t>Interest Due</t>
  </si>
  <si>
    <t>Term - Years</t>
  </si>
  <si>
    <t>Cash Received at Issuance</t>
  </si>
  <si>
    <t>A new staff accountant who has very little experience with bonds has approached you and asked you to help her understand how to create an amortization schedule under the effective-interest method for bonds issued at premiums and discounts.  Complete the amortization schedule below by selecting the appropriate formula from the drop down for the first two years.  Assume that a five-year $100,000 bond with a coupon rate of 10% was issued and dated January 1, 20X1.  Interest payments are on an annual basis and due on December 31 of each year.  NOTE:  Format column "M" to show the amortization of the discount/premium as a positive amount.</t>
  </si>
  <si>
    <t>12/31/X3</t>
  </si>
  <si>
    <t>12/31/X4</t>
  </si>
  <si>
    <t>12/31/X5</t>
  </si>
  <si>
    <t>12/31/X6</t>
  </si>
  <si>
    <t>Debit</t>
  </si>
  <si>
    <t>Credit</t>
  </si>
  <si>
    <t>Account</t>
  </si>
  <si>
    <t>Cash</t>
  </si>
  <si>
    <t>Bond Payable</t>
  </si>
  <si>
    <t>Discount on Bond Payable</t>
  </si>
  <si>
    <t>1/1/X2</t>
  </si>
  <si>
    <t>B.1)</t>
  </si>
  <si>
    <t>6/30/X2</t>
  </si>
  <si>
    <t>To record interest payment</t>
  </si>
  <si>
    <t>B.2)</t>
  </si>
  <si>
    <t>B.3)</t>
  </si>
  <si>
    <t>Premium on Bond Payable</t>
  </si>
  <si>
    <t>Bond Date</t>
  </si>
  <si>
    <t>1/1/20X2</t>
  </si>
  <si>
    <t>Prepare the appropriate journal entries to record the bond issuance and interest expense for the first year (remember to account for the fact that the bond was issued between interest payments).  Assume interest is paid semi-annually on June 30 and December 31.  Round all numbers to the nearest whole number for ease record keeping.</t>
  </si>
  <si>
    <t>C)</t>
  </si>
  <si>
    <t>4/1/X2</t>
  </si>
  <si>
    <t>Interest Payable</t>
  </si>
  <si>
    <t>To record interest payment and amortization</t>
  </si>
  <si>
    <t>FOR VLOOKUP Conditional Formatting</t>
  </si>
  <si>
    <t xml:space="preserve"> Construction, LLC has been so successful due to its financing policy which requires a customer to only pay 50% of the total construction costs up front with the remainder due once the project has been completed.  The company relies heavily on new customer's upfront deposits to continue funding the construction of any homes in progress.  When there is a downturn in the construction industry </t>
  </si>
  <si>
    <t>Applying what you have learned in chapter 13 select the correct answer for each red cell below.  Once the correct answer is selected the cell will turn green.  Round all answers to the nearest whole dollar.  When selecting your answers be sure that for each journal entry the same account is not debited or credited more than once.</t>
  </si>
  <si>
    <t>Annual  on Dec. 31</t>
  </si>
  <si>
    <t>Semi-Annual June 30 and Dec. 31</t>
  </si>
  <si>
    <t>B-1)</t>
  </si>
  <si>
    <t>In Part B-1, below, prepare the indicated journal entries for the bonds issued at par.  In Part B-2, complete the requested amortization table for the bonds issued at a discount and prepare the requested entries.  Part B-3 is the same requirements applied to the bonds issued at a premium.  Round all numbers to the nearest whole number for ease of record keeping.</t>
  </si>
  <si>
    <t>Enter Name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</si>
</sst>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4" formatCode="_(&quot;$&quot;* #,##0.00_);_(&quot;$&quot;* \(#,##0.00\);_(&quot;$&quot;* &quot;-&quot;??_);_(@_)"/>
    <numFmt numFmtId="164" formatCode="[$-409]dd\-mmm\-yy;@"/>
    <numFmt numFmtId="165" formatCode="_(&quot;$&quot;* #,##0_);_(&quot;$&quot;* \(#,##0\);_(&quot;$&quot;* &quot;-&quot;??_);_(@_)"/>
  </numFmts>
  <fonts count="14">
    <font>
      <sz val="10"/>
      <name val="Arial"/>
    </font>
    <font>
      <sz val="10"/>
      <name val="Arial"/>
    </font>
    <font>
      <sz val="10"/>
      <name val="Myriad Web Pro"/>
    </font>
    <font>
      <b/>
      <sz val="10"/>
      <color indexed="9"/>
      <name val="Myriad Web Pro"/>
    </font>
    <font>
      <sz val="10"/>
      <color indexed="16"/>
      <name val="Myriad Web Pro"/>
    </font>
    <font>
      <sz val="10"/>
      <color indexed="16"/>
      <name val="Myriad Pro"/>
    </font>
    <font>
      <sz val="10"/>
      <name val="Myriad Pro"/>
    </font>
    <font>
      <i/>
      <sz val="10"/>
      <name val="Myriad Web Pro"/>
    </font>
    <font>
      <sz val="12"/>
      <color indexed="12"/>
      <name val="Arial"/>
      <family val="2"/>
    </font>
    <font>
      <sz val="12"/>
      <name val="Myriad Pro"/>
    </font>
    <font>
      <sz val="12"/>
      <color indexed="16"/>
      <name val="Myriad Pro"/>
    </font>
    <font>
      <sz val="10"/>
      <name val="Arial"/>
      <family val="2"/>
    </font>
    <font>
      <b/>
      <sz val="10"/>
      <name val="Arial"/>
      <family val="2"/>
    </font>
    <font>
      <b/>
      <sz val="12"/>
      <name val="Arial"/>
      <family val="2"/>
    </font>
  </fonts>
  <fills count="16">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00FF00"/>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5">
    <xf numFmtId="0" fontId="0" fillId="0" borderId="0"/>
    <xf numFmtId="0" fontId="2" fillId="2" borderId="0" applyNumberFormat="0" applyBorder="0" applyAlignment="0"/>
    <xf numFmtId="0" fontId="2" fillId="3" borderId="0"/>
    <xf numFmtId="0" fontId="3" fillId="3" borderId="0">
      <alignment horizontal="center" vertical="center"/>
    </xf>
    <xf numFmtId="3" fontId="2" fillId="4" borderId="2">
      <alignment horizontal="right" vertical="center" wrapText="1"/>
    </xf>
    <xf numFmtId="0" fontId="4" fillId="4" borderId="3">
      <alignment horizontal="left" vertical="center" wrapText="1"/>
    </xf>
    <xf numFmtId="0" fontId="5" fillId="4" borderId="0">
      <alignment horizontal="left" vertical="center" wrapText="1" indent="1"/>
    </xf>
    <xf numFmtId="3" fontId="6" fillId="4" borderId="4" applyNumberFormat="0" applyFont="0" applyAlignment="0">
      <alignment horizontal="center" vertical="center" wrapText="1"/>
    </xf>
    <xf numFmtId="16" fontId="2" fillId="4" borderId="0">
      <alignment horizontal="center" vertical="center" wrapText="1"/>
    </xf>
    <xf numFmtId="0" fontId="7" fillId="4" borderId="5">
      <alignment horizontal="justify" vertical="center" wrapText="1"/>
    </xf>
    <xf numFmtId="0" fontId="8" fillId="5" borderId="0" applyFont="0" applyAlignment="0">
      <alignment horizontal="center" vertical="center" wrapText="1"/>
    </xf>
    <xf numFmtId="0" fontId="3" fillId="5" borderId="4" applyAlignment="0">
      <alignment horizontal="center" vertical="center" wrapText="1"/>
    </xf>
    <xf numFmtId="164" fontId="9" fillId="6" borderId="6" applyNumberFormat="0" applyFont="0" applyFill="0" applyAlignment="0">
      <alignment horizontal="left" vertical="center" wrapText="1"/>
    </xf>
    <xf numFmtId="164" fontId="2" fillId="0" borderId="6" applyNumberFormat="0" applyFont="0" applyFill="0" applyAlignment="0">
      <alignment horizontal="center" vertical="center" wrapText="1"/>
    </xf>
    <xf numFmtId="164" fontId="2" fillId="7" borderId="7" applyNumberFormat="0" applyBorder="0" applyAlignment="0">
      <alignment horizontal="left" vertical="center" wrapText="1"/>
    </xf>
    <xf numFmtId="0" fontId="3" fillId="8" borderId="8" applyAlignment="0">
      <alignment vertical="center"/>
    </xf>
    <xf numFmtId="0" fontId="1" fillId="8" borderId="0">
      <alignment vertical="center"/>
    </xf>
    <xf numFmtId="164" fontId="2" fillId="6" borderId="9" applyNumberFormat="0" applyBorder="0" applyAlignment="0">
      <alignment horizontal="left" vertical="center" wrapText="1"/>
    </xf>
    <xf numFmtId="0" fontId="2" fillId="4" borderId="0" applyFill="0">
      <alignment horizontal="justify" vertical="top" wrapText="1"/>
    </xf>
    <xf numFmtId="0" fontId="10" fillId="0" borderId="0">
      <alignment horizontal="left" vertical="center" wrapText="1"/>
    </xf>
    <xf numFmtId="0" fontId="9" fillId="0" borderId="0">
      <alignment horizontal="left" vertical="center" wrapText="1"/>
    </xf>
    <xf numFmtId="0" fontId="2" fillId="9" borderId="0" applyNumberFormat="0" applyAlignment="0">
      <alignment vertical="center"/>
    </xf>
    <xf numFmtId="0" fontId="3" fillId="10" borderId="0" applyNumberFormat="0" applyAlignment="0"/>
    <xf numFmtId="44" fontId="1" fillId="0" borderId="0" applyFont="0" applyFill="0" applyBorder="0" applyAlignment="0" applyProtection="0"/>
    <xf numFmtId="9" fontId="1" fillId="0" borderId="0" applyFont="0" applyFill="0" applyBorder="0" applyAlignment="0" applyProtection="0"/>
  </cellStyleXfs>
  <cellXfs count="137">
    <xf numFmtId="0" fontId="0" fillId="0" borderId="0" xfId="0"/>
    <xf numFmtId="1" fontId="2" fillId="12" borderId="1" xfId="0" applyNumberFormat="1" applyFont="1" applyFill="1" applyBorder="1" applyProtection="1"/>
    <xf numFmtId="1" fontId="2" fillId="12" borderId="0" xfId="0" applyNumberFormat="1" applyFont="1" applyFill="1" applyBorder="1" applyProtection="1"/>
    <xf numFmtId="0" fontId="2" fillId="12" borderId="0" xfId="0" applyFont="1" applyFill="1" applyAlignment="1" applyProtection="1">
      <alignment horizontal="left" vertical="center"/>
    </xf>
    <xf numFmtId="0" fontId="2" fillId="12" borderId="0" xfId="0" applyFont="1" applyFill="1" applyAlignment="1" applyProtection="1">
      <alignment horizontal="center" vertical="center"/>
      <protection locked="0"/>
    </xf>
    <xf numFmtId="0" fontId="2" fillId="12" borderId="0" xfId="0" applyFont="1" applyFill="1" applyProtection="1"/>
    <xf numFmtId="14" fontId="2" fillId="12" borderId="0" xfId="0" applyNumberFormat="1" applyFont="1" applyFill="1" applyAlignment="1" applyProtection="1">
      <alignment horizontal="center" vertical="center"/>
      <protection locked="0"/>
    </xf>
    <xf numFmtId="0" fontId="0" fillId="12" borderId="0" xfId="0" applyFill="1" applyProtection="1"/>
    <xf numFmtId="0" fontId="0" fillId="12" borderId="0" xfId="0" applyFill="1" applyAlignment="1" applyProtection="1">
      <alignment horizontal="left"/>
    </xf>
    <xf numFmtId="0" fontId="11" fillId="12" borderId="0" xfId="0" applyFont="1" applyFill="1" applyProtection="1"/>
    <xf numFmtId="9" fontId="0" fillId="12" borderId="0" xfId="24" applyFont="1" applyFill="1" applyProtection="1"/>
    <xf numFmtId="0" fontId="12" fillId="12" borderId="0" xfId="0" applyFont="1" applyFill="1" applyAlignment="1" applyProtection="1">
      <alignment vertical="center"/>
    </xf>
    <xf numFmtId="0" fontId="11" fillId="12" borderId="0" xfId="0" applyFont="1" applyFill="1" applyAlignment="1" applyProtection="1">
      <alignment horizontal="left"/>
    </xf>
    <xf numFmtId="0" fontId="13" fillId="12" borderId="0" xfId="0" applyFont="1" applyFill="1" applyAlignment="1" applyProtection="1">
      <alignment horizontal="center"/>
    </xf>
    <xf numFmtId="0" fontId="11" fillId="13" borderId="1" xfId="0" applyFont="1" applyFill="1" applyBorder="1" applyAlignment="1" applyProtection="1">
      <alignment horizontal="center" vertical="center" wrapText="1"/>
    </xf>
    <xf numFmtId="0" fontId="11" fillId="13" borderId="1" xfId="0" applyFont="1" applyFill="1" applyBorder="1" applyAlignment="1" applyProtection="1">
      <alignment wrapText="1"/>
    </xf>
    <xf numFmtId="0" fontId="0" fillId="13" borderId="1" xfId="0" applyFill="1" applyBorder="1" applyAlignment="1" applyProtection="1">
      <alignment horizontal="center" vertical="center"/>
    </xf>
    <xf numFmtId="1" fontId="11" fillId="0" borderId="1" xfId="0" applyNumberFormat="1" applyFont="1" applyBorder="1" applyProtection="1"/>
    <xf numFmtId="0" fontId="11" fillId="13"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165" fontId="11" fillId="0" borderId="1" xfId="23" applyNumberFormat="1" applyFont="1" applyFill="1" applyBorder="1" applyAlignment="1" applyProtection="1">
      <alignment horizontal="center"/>
    </xf>
    <xf numFmtId="0" fontId="0" fillId="0" borderId="1" xfId="0" applyFill="1" applyBorder="1" applyProtection="1"/>
    <xf numFmtId="9" fontId="0" fillId="0" borderId="1" xfId="0" applyNumberFormat="1" applyFill="1" applyBorder="1" applyProtection="1"/>
    <xf numFmtId="165" fontId="11" fillId="0" borderId="1" xfId="23" applyNumberFormat="1" applyFont="1" applyFill="1" applyBorder="1" applyProtection="1"/>
    <xf numFmtId="0" fontId="11" fillId="0" borderId="1" xfId="0" applyFont="1" applyFill="1" applyBorder="1" applyProtection="1"/>
    <xf numFmtId="9" fontId="0" fillId="12" borderId="0" xfId="0" applyNumberFormat="1" applyFill="1" applyProtection="1"/>
    <xf numFmtId="9" fontId="11" fillId="0" borderId="1" xfId="24" applyFont="1" applyBorder="1" applyProtection="1"/>
    <xf numFmtId="9" fontId="11" fillId="11" borderId="1" xfId="24" applyFont="1" applyFill="1" applyBorder="1" applyProtection="1"/>
    <xf numFmtId="0" fontId="12" fillId="12" borderId="0" xfId="0" applyFont="1" applyFill="1" applyBorder="1" applyAlignment="1" applyProtection="1">
      <alignment horizontal="center" vertical="center"/>
    </xf>
    <xf numFmtId="0" fontId="11" fillId="12" borderId="0" xfId="0" applyFont="1" applyFill="1" applyBorder="1" applyAlignment="1" applyProtection="1">
      <alignment horizontal="center" vertical="center"/>
    </xf>
    <xf numFmtId="0" fontId="11" fillId="12" borderId="0" xfId="0" applyFont="1" applyFill="1" applyBorder="1" applyProtection="1"/>
    <xf numFmtId="0" fontId="0" fillId="12" borderId="0" xfId="0" applyFill="1" applyBorder="1" applyProtection="1"/>
    <xf numFmtId="9" fontId="0" fillId="12" borderId="0" xfId="0" applyNumberFormat="1" applyFill="1" applyBorder="1" applyProtection="1"/>
    <xf numFmtId="1" fontId="11" fillId="11" borderId="1" xfId="0" applyNumberFormat="1" applyFont="1" applyFill="1" applyBorder="1" applyProtection="1"/>
    <xf numFmtId="0" fontId="12" fillId="12" borderId="0" xfId="0" applyFont="1" applyFill="1" applyProtection="1"/>
    <xf numFmtId="0" fontId="0" fillId="12" borderId="0" xfId="0" applyFill="1" applyAlignment="1" applyProtection="1">
      <alignment horizontal="left" vertical="center"/>
    </xf>
    <xf numFmtId="0" fontId="0" fillId="12" borderId="0" xfId="0" applyFill="1" applyAlignment="1" applyProtection="1">
      <alignment horizontal="center" vertical="center"/>
    </xf>
    <xf numFmtId="0" fontId="11" fillId="13" borderId="10" xfId="0" applyFont="1" applyFill="1" applyBorder="1" applyAlignment="1" applyProtection="1">
      <alignment wrapText="1"/>
    </xf>
    <xf numFmtId="0" fontId="11" fillId="13" borderId="10" xfId="0" applyFont="1" applyFill="1" applyBorder="1" applyAlignment="1" applyProtection="1">
      <alignment horizontal="center" vertical="center" wrapText="1"/>
    </xf>
    <xf numFmtId="0" fontId="0" fillId="13" borderId="10" xfId="0" applyFill="1" applyBorder="1" applyAlignment="1" applyProtection="1">
      <alignment horizontal="center" vertical="center"/>
    </xf>
    <xf numFmtId="0" fontId="11" fillId="12" borderId="0" xfId="0" applyFont="1" applyFill="1" applyAlignment="1" applyProtection="1">
      <alignment horizontal="center" vertical="center"/>
    </xf>
    <xf numFmtId="0" fontId="12" fillId="12" borderId="1" xfId="0" applyFont="1" applyFill="1" applyBorder="1" applyProtection="1"/>
    <xf numFmtId="165" fontId="0" fillId="12" borderId="1" xfId="23" applyNumberFormat="1" applyFont="1" applyFill="1" applyBorder="1" applyProtection="1"/>
    <xf numFmtId="0" fontId="0" fillId="12" borderId="1" xfId="0" applyFill="1" applyBorder="1" applyProtection="1"/>
    <xf numFmtId="9" fontId="0" fillId="12" borderId="1" xfId="0" applyNumberFormat="1" applyFill="1" applyBorder="1" applyProtection="1"/>
    <xf numFmtId="0" fontId="0" fillId="12" borderId="1" xfId="0" applyFill="1" applyBorder="1" applyAlignment="1" applyProtection="1">
      <alignment horizontal="center"/>
    </xf>
    <xf numFmtId="0" fontId="11" fillId="12" borderId="1" xfId="0" applyFont="1" applyFill="1" applyBorder="1" applyProtection="1"/>
    <xf numFmtId="6" fontId="0" fillId="12" borderId="1" xfId="0" applyNumberFormat="1" applyFill="1" applyBorder="1" applyProtection="1"/>
    <xf numFmtId="165" fontId="0" fillId="12" borderId="1" xfId="0" applyNumberFormat="1" applyFill="1" applyBorder="1" applyProtection="1"/>
    <xf numFmtId="10" fontId="0" fillId="12" borderId="1" xfId="0" applyNumberFormat="1" applyFill="1" applyBorder="1" applyProtection="1"/>
    <xf numFmtId="0" fontId="12" fillId="12" borderId="0" xfId="0" applyFont="1" applyFill="1" applyAlignment="1" applyProtection="1">
      <alignment horizontal="center" wrapText="1"/>
    </xf>
    <xf numFmtId="0" fontId="12" fillId="13" borderId="1" xfId="0" applyFont="1" applyFill="1" applyBorder="1" applyAlignment="1" applyProtection="1">
      <alignment horizontal="center" vertical="center" wrapText="1"/>
    </xf>
    <xf numFmtId="0" fontId="12" fillId="13" borderId="12" xfId="0" applyFont="1" applyFill="1" applyBorder="1" applyAlignment="1" applyProtection="1">
      <alignment vertical="center" wrapText="1"/>
    </xf>
    <xf numFmtId="0" fontId="11" fillId="12" borderId="0" xfId="0" applyFont="1" applyFill="1" applyAlignment="1" applyProtection="1">
      <alignment horizontal="center"/>
    </xf>
    <xf numFmtId="165" fontId="0" fillId="12" borderId="0" xfId="23" applyNumberFormat="1" applyFont="1" applyFill="1" applyAlignment="1" applyProtection="1">
      <alignment horizontal="left"/>
    </xf>
    <xf numFmtId="165" fontId="11" fillId="0" borderId="1" xfId="0" applyNumberFormat="1" applyFont="1" applyFill="1" applyBorder="1" applyProtection="1"/>
    <xf numFmtId="165" fontId="0" fillId="12" borderId="0" xfId="0" applyNumberFormat="1" applyFill="1" applyAlignment="1" applyProtection="1">
      <alignment horizontal="left"/>
    </xf>
    <xf numFmtId="3" fontId="0" fillId="12" borderId="0" xfId="0" applyNumberFormat="1" applyFill="1" applyProtection="1"/>
    <xf numFmtId="165" fontId="11" fillId="0" borderId="1" xfId="0" applyNumberFormat="1" applyFont="1" applyFill="1" applyBorder="1" applyProtection="1">
      <protection hidden="1"/>
    </xf>
    <xf numFmtId="0" fontId="0" fillId="0" borderId="1" xfId="0" applyFill="1" applyBorder="1" applyProtection="1">
      <protection hidden="1"/>
    </xf>
    <xf numFmtId="9" fontId="0" fillId="0" borderId="1" xfId="0" applyNumberFormat="1" applyFill="1" applyBorder="1" applyProtection="1">
      <protection hidden="1"/>
    </xf>
    <xf numFmtId="165" fontId="11" fillId="0" borderId="1" xfId="23" applyNumberFormat="1" applyFont="1" applyFill="1" applyBorder="1" applyProtection="1">
      <protection hidden="1"/>
    </xf>
    <xf numFmtId="44" fontId="11" fillId="0" borderId="1" xfId="0" applyNumberFormat="1" applyFont="1" applyFill="1" applyBorder="1" applyProtection="1">
      <protection hidden="1"/>
    </xf>
    <xf numFmtId="0" fontId="12" fillId="12" borderId="0" xfId="0" applyFont="1" applyFill="1" applyAlignment="1" applyProtection="1">
      <alignment horizontal="center" wrapText="1"/>
    </xf>
    <xf numFmtId="165" fontId="11" fillId="13" borderId="1" xfId="0" applyNumberFormat="1" applyFont="1" applyFill="1" applyBorder="1" applyAlignment="1" applyProtection="1">
      <alignment horizontal="center" vertical="center"/>
    </xf>
    <xf numFmtId="0" fontId="11" fillId="13" borderId="1" xfId="0" applyFont="1" applyFill="1" applyBorder="1" applyAlignment="1" applyProtection="1">
      <alignment horizontal="center" vertical="center"/>
    </xf>
    <xf numFmtId="0" fontId="0" fillId="12" borderId="0" xfId="0" applyFill="1" applyAlignment="1" applyProtection="1">
      <alignment horizontal="center" wrapText="1"/>
    </xf>
    <xf numFmtId="0" fontId="11" fillId="12" borderId="0" xfId="0" applyFont="1" applyFill="1" applyAlignment="1" applyProtection="1">
      <alignment horizontal="center" vertical="center" wrapText="1"/>
    </xf>
    <xf numFmtId="0" fontId="12" fillId="13" borderId="1" xfId="0" applyFont="1" applyFill="1" applyBorder="1" applyAlignment="1" applyProtection="1">
      <alignment horizontal="center" vertical="center"/>
    </xf>
    <xf numFmtId="0" fontId="12" fillId="13" borderId="12" xfId="0" applyFont="1" applyFill="1" applyBorder="1" applyAlignment="1" applyProtection="1">
      <alignment horizontal="center" vertical="center" wrapText="1"/>
    </xf>
    <xf numFmtId="0" fontId="12" fillId="13" borderId="13" xfId="0" applyFont="1" applyFill="1" applyBorder="1" applyAlignment="1" applyProtection="1">
      <alignment horizontal="center" vertical="center" wrapText="1"/>
    </xf>
    <xf numFmtId="0" fontId="12" fillId="13" borderId="14" xfId="0" applyFont="1" applyFill="1" applyBorder="1" applyAlignment="1" applyProtection="1">
      <alignment horizontal="center" vertical="center" wrapText="1"/>
    </xf>
    <xf numFmtId="0" fontId="11" fillId="12" borderId="11" xfId="0" applyFont="1" applyFill="1" applyBorder="1" applyAlignment="1" applyProtection="1">
      <alignment horizontal="left"/>
    </xf>
    <xf numFmtId="0" fontId="0" fillId="12" borderId="11" xfId="0" applyFill="1" applyBorder="1" applyAlignment="1" applyProtection="1">
      <alignment horizontal="left"/>
    </xf>
    <xf numFmtId="3" fontId="0" fillId="12" borderId="0" xfId="0" applyNumberFormat="1" applyFill="1" applyBorder="1" applyAlignment="1" applyProtection="1">
      <alignment horizontal="right"/>
    </xf>
    <xf numFmtId="0" fontId="0" fillId="12" borderId="11" xfId="0" applyFill="1" applyBorder="1" applyAlignment="1" applyProtection="1">
      <alignment horizontal="center"/>
    </xf>
    <xf numFmtId="0" fontId="11" fillId="12" borderId="0" xfId="0" applyFont="1" applyFill="1" applyBorder="1" applyAlignment="1" applyProtection="1">
      <alignment horizontal="left" indent="3"/>
    </xf>
    <xf numFmtId="0" fontId="0" fillId="12" borderId="0" xfId="0" applyFill="1" applyBorder="1" applyAlignment="1" applyProtection="1">
      <alignment horizontal="left" indent="3"/>
    </xf>
    <xf numFmtId="0" fontId="0" fillId="12" borderId="0" xfId="0" applyFill="1" applyBorder="1" applyAlignment="1" applyProtection="1">
      <alignment horizontal="center"/>
    </xf>
    <xf numFmtId="0" fontId="11" fillId="12" borderId="15" xfId="0" applyFont="1" applyFill="1" applyBorder="1" applyAlignment="1" applyProtection="1">
      <alignment horizontal="center"/>
    </xf>
    <xf numFmtId="0" fontId="0" fillId="12" borderId="16" xfId="0" applyFill="1" applyBorder="1" applyAlignment="1" applyProtection="1">
      <alignment horizontal="center"/>
    </xf>
    <xf numFmtId="0" fontId="0" fillId="12" borderId="17" xfId="0" applyFill="1" applyBorder="1" applyAlignment="1" applyProtection="1">
      <alignment horizontal="center"/>
    </xf>
    <xf numFmtId="0" fontId="0" fillId="12" borderId="15" xfId="0" applyFill="1" applyBorder="1" applyAlignment="1" applyProtection="1">
      <alignment horizontal="center"/>
    </xf>
    <xf numFmtId="0" fontId="11" fillId="12" borderId="0" xfId="0" applyFont="1" applyFill="1" applyBorder="1" applyAlignment="1" applyProtection="1">
      <alignment horizontal="left"/>
    </xf>
    <xf numFmtId="0" fontId="0" fillId="12" borderId="0" xfId="0" applyFill="1" applyBorder="1" applyAlignment="1" applyProtection="1">
      <alignment horizontal="left"/>
    </xf>
    <xf numFmtId="0" fontId="11" fillId="14" borderId="1" xfId="0" applyFont="1" applyFill="1" applyBorder="1" applyProtection="1">
      <protection locked="0"/>
    </xf>
    <xf numFmtId="0" fontId="11" fillId="15" borderId="1" xfId="0" applyFont="1" applyFill="1" applyBorder="1" applyAlignment="1" applyProtection="1">
      <alignment horizontal="center" vertical="center" wrapText="1"/>
    </xf>
    <xf numFmtId="0" fontId="11" fillId="15" borderId="1" xfId="0" applyFont="1" applyFill="1" applyBorder="1" applyAlignment="1" applyProtection="1">
      <alignment wrapText="1"/>
    </xf>
    <xf numFmtId="0" fontId="0" fillId="15" borderId="1" xfId="0" applyFill="1" applyBorder="1" applyAlignment="1" applyProtection="1">
      <alignment horizontal="center" vertical="center"/>
    </xf>
    <xf numFmtId="0" fontId="12" fillId="15" borderId="1" xfId="0" applyFont="1" applyFill="1" applyBorder="1" applyAlignment="1" applyProtection="1">
      <alignment horizontal="center" vertical="center"/>
    </xf>
    <xf numFmtId="0" fontId="11" fillId="15" borderId="1" xfId="0" applyFont="1" applyFill="1" applyBorder="1" applyAlignment="1" applyProtection="1">
      <alignment horizontal="center" vertical="center"/>
    </xf>
    <xf numFmtId="0" fontId="11" fillId="15" borderId="10" xfId="0" applyFont="1" applyFill="1" applyBorder="1" applyAlignment="1" applyProtection="1">
      <alignment wrapText="1"/>
    </xf>
    <xf numFmtId="0" fontId="11" fillId="15" borderId="10" xfId="0" applyFont="1" applyFill="1" applyBorder="1" applyAlignment="1" applyProtection="1">
      <alignment horizontal="center" vertical="center" wrapText="1"/>
    </xf>
    <xf numFmtId="0" fontId="0" fillId="15" borderId="10" xfId="0" applyFill="1" applyBorder="1" applyAlignment="1" applyProtection="1">
      <alignment horizontal="center" vertical="center"/>
    </xf>
    <xf numFmtId="0" fontId="12" fillId="15" borderId="1" xfId="0" applyFont="1" applyFill="1" applyBorder="1" applyAlignment="1" applyProtection="1">
      <alignment horizontal="center" vertical="center" wrapText="1"/>
    </xf>
    <xf numFmtId="0" fontId="12" fillId="15" borderId="12" xfId="0" applyFont="1" applyFill="1" applyBorder="1" applyAlignment="1" applyProtection="1">
      <alignment vertical="center" wrapText="1"/>
    </xf>
    <xf numFmtId="0" fontId="12" fillId="15" borderId="12" xfId="0" applyFont="1" applyFill="1" applyBorder="1" applyAlignment="1" applyProtection="1">
      <alignment horizontal="center" vertical="center" wrapText="1"/>
    </xf>
    <xf numFmtId="0" fontId="12" fillId="15" borderId="13" xfId="0" applyFont="1" applyFill="1" applyBorder="1" applyAlignment="1" applyProtection="1">
      <alignment horizontal="center" vertical="center" wrapText="1"/>
    </xf>
    <xf numFmtId="0" fontId="12" fillId="15" borderId="14" xfId="0" applyFont="1" applyFill="1" applyBorder="1" applyAlignment="1" applyProtection="1">
      <alignment horizontal="center" vertical="center" wrapText="1"/>
    </xf>
    <xf numFmtId="0" fontId="12" fillId="12" borderId="1" xfId="0" applyFont="1" applyFill="1" applyBorder="1" applyAlignment="1" applyProtection="1">
      <alignment vertical="center"/>
    </xf>
    <xf numFmtId="165" fontId="0" fillId="12" borderId="1" xfId="23" applyNumberFormat="1" applyFont="1" applyFill="1" applyBorder="1" applyAlignment="1" applyProtection="1">
      <alignment vertical="center"/>
    </xf>
    <xf numFmtId="0" fontId="0" fillId="12" borderId="1" xfId="0" applyFill="1" applyBorder="1" applyAlignment="1" applyProtection="1">
      <alignment vertical="center"/>
    </xf>
    <xf numFmtId="9" fontId="0" fillId="12" borderId="1" xfId="0" applyNumberFormat="1" applyFill="1" applyBorder="1" applyAlignment="1" applyProtection="1">
      <alignment vertical="center"/>
    </xf>
    <xf numFmtId="0" fontId="0" fillId="12" borderId="1" xfId="0" applyFill="1" applyBorder="1" applyAlignment="1" applyProtection="1">
      <alignment horizontal="center" vertical="center"/>
    </xf>
    <xf numFmtId="0" fontId="11" fillId="12" borderId="1" xfId="0" applyFont="1" applyFill="1" applyBorder="1" applyAlignment="1" applyProtection="1">
      <alignment vertical="center" wrapText="1"/>
    </xf>
    <xf numFmtId="0" fontId="11" fillId="14" borderId="11" xfId="0" applyFont="1" applyFill="1" applyBorder="1" applyAlignment="1" applyProtection="1">
      <alignment horizontal="left"/>
      <protection locked="0"/>
    </xf>
    <xf numFmtId="0" fontId="0" fillId="14" borderId="11" xfId="0" applyFill="1" applyBorder="1" applyAlignment="1" applyProtection="1">
      <alignment horizontal="left"/>
      <protection locked="0"/>
    </xf>
    <xf numFmtId="0" fontId="11" fillId="14" borderId="0" xfId="0" applyFont="1" applyFill="1" applyBorder="1" applyAlignment="1" applyProtection="1">
      <alignment horizontal="left" indent="3"/>
      <protection locked="0"/>
    </xf>
    <xf numFmtId="3" fontId="0" fillId="14" borderId="0" xfId="0" applyNumberFormat="1" applyFill="1" applyBorder="1" applyAlignment="1" applyProtection="1">
      <alignment horizontal="right"/>
      <protection locked="0"/>
    </xf>
    <xf numFmtId="0" fontId="0" fillId="12" borderId="0" xfId="0" applyFill="1" applyAlignment="1" applyProtection="1">
      <alignment vertical="center"/>
    </xf>
    <xf numFmtId="0" fontId="11" fillId="14" borderId="11" xfId="0" applyFont="1" applyFill="1" applyBorder="1" applyAlignment="1" applyProtection="1">
      <alignment horizontal="left" vertical="center"/>
      <protection locked="0"/>
    </xf>
    <xf numFmtId="0" fontId="0" fillId="14" borderId="11" xfId="0" applyFill="1" applyBorder="1" applyAlignment="1" applyProtection="1">
      <alignment horizontal="left" vertical="center"/>
      <protection locked="0"/>
    </xf>
    <xf numFmtId="3" fontId="0" fillId="14" borderId="0" xfId="0" applyNumberFormat="1" applyFill="1" applyBorder="1" applyAlignment="1" applyProtection="1">
      <alignment horizontal="right" vertical="center"/>
      <protection locked="0"/>
    </xf>
    <xf numFmtId="0" fontId="0" fillId="12" borderId="11" xfId="0" applyFill="1" applyBorder="1" applyAlignment="1" applyProtection="1">
      <alignment horizontal="center" vertical="center"/>
    </xf>
    <xf numFmtId="0" fontId="12" fillId="12" borderId="0" xfId="0" applyFont="1" applyFill="1" applyAlignment="1" applyProtection="1">
      <alignment horizontal="center" vertical="center" wrapText="1"/>
    </xf>
    <xf numFmtId="0" fontId="11" fillId="12" borderId="11" xfId="0" applyFont="1" applyFill="1" applyBorder="1" applyAlignment="1" applyProtection="1">
      <alignment horizontal="left" vertical="center"/>
    </xf>
    <xf numFmtId="0" fontId="0" fillId="12" borderId="11" xfId="0" applyFill="1" applyBorder="1" applyAlignment="1" applyProtection="1">
      <alignment horizontal="left" vertical="center"/>
    </xf>
    <xf numFmtId="3" fontId="0" fillId="12" borderId="0" xfId="0" applyNumberFormat="1" applyFill="1" applyBorder="1" applyAlignment="1" applyProtection="1">
      <alignment horizontal="right" vertical="center"/>
    </xf>
    <xf numFmtId="0" fontId="11" fillId="14" borderId="0" xfId="0" applyFont="1" applyFill="1" applyBorder="1" applyAlignment="1" applyProtection="1">
      <alignment horizontal="left" vertical="center"/>
      <protection locked="0"/>
    </xf>
    <xf numFmtId="0" fontId="0" fillId="12" borderId="0" xfId="0" applyFill="1" applyBorder="1" applyAlignment="1" applyProtection="1">
      <alignment horizontal="center" vertical="center"/>
    </xf>
    <xf numFmtId="0" fontId="11" fillId="12" borderId="0" xfId="0" applyFont="1" applyFill="1" applyBorder="1" applyAlignment="1" applyProtection="1">
      <alignment horizontal="left" vertical="center"/>
    </xf>
    <xf numFmtId="0" fontId="0" fillId="12" borderId="0" xfId="0" applyFill="1" applyBorder="1" applyAlignment="1" applyProtection="1">
      <alignment horizontal="left" vertical="center"/>
    </xf>
    <xf numFmtId="0" fontId="11" fillId="14" borderId="0" xfId="0" applyFont="1" applyFill="1" applyBorder="1" applyAlignment="1" applyProtection="1">
      <alignment horizontal="left" vertical="center" indent="3"/>
      <protection locked="0"/>
    </xf>
    <xf numFmtId="165" fontId="0" fillId="12" borderId="0" xfId="23" applyNumberFormat="1" applyFont="1" applyFill="1" applyAlignment="1" applyProtection="1">
      <alignment horizontal="left" vertical="center"/>
    </xf>
    <xf numFmtId="165" fontId="11" fillId="15" borderId="1" xfId="0" applyNumberFormat="1" applyFont="1" applyFill="1" applyBorder="1" applyAlignment="1" applyProtection="1">
      <alignment horizontal="center" vertical="center"/>
    </xf>
    <xf numFmtId="0" fontId="11" fillId="15" borderId="1" xfId="0" applyFont="1" applyFill="1" applyBorder="1" applyAlignment="1" applyProtection="1">
      <alignment horizontal="center" vertical="center"/>
    </xf>
    <xf numFmtId="165" fontId="11" fillId="14" borderId="1" xfId="23" applyNumberFormat="1" applyFont="1" applyFill="1" applyBorder="1" applyAlignment="1" applyProtection="1">
      <alignment horizontal="center"/>
      <protection locked="0"/>
    </xf>
    <xf numFmtId="0" fontId="11" fillId="14" borderId="0" xfId="0" applyFont="1" applyFill="1" applyBorder="1" applyAlignment="1" applyProtection="1">
      <alignment horizontal="left"/>
      <protection locked="0"/>
    </xf>
    <xf numFmtId="0" fontId="0" fillId="14" borderId="0" xfId="0" applyFill="1" applyBorder="1" applyAlignment="1" applyProtection="1">
      <alignment horizontal="left"/>
      <protection locked="0"/>
    </xf>
    <xf numFmtId="165" fontId="0" fillId="12" borderId="0" xfId="0" applyNumberFormat="1" applyFill="1" applyAlignment="1" applyProtection="1">
      <alignment horizontal="left" vertical="center"/>
    </xf>
    <xf numFmtId="0" fontId="0" fillId="14" borderId="0" xfId="0" applyFill="1" applyBorder="1" applyAlignment="1" applyProtection="1">
      <alignment horizontal="left" vertical="center"/>
      <protection locked="0"/>
    </xf>
    <xf numFmtId="3" fontId="0" fillId="12" borderId="0" xfId="0" applyNumberFormat="1" applyFill="1" applyAlignment="1" applyProtection="1">
      <alignment vertical="center"/>
    </xf>
    <xf numFmtId="0" fontId="0" fillId="14" borderId="0" xfId="0" applyFill="1" applyBorder="1" applyAlignment="1" applyProtection="1">
      <alignment horizontal="left" vertical="center" indent="3"/>
      <protection locked="0"/>
    </xf>
    <xf numFmtId="0" fontId="11" fillId="14" borderId="0" xfId="0" applyFont="1" applyFill="1" applyBorder="1" applyAlignment="1" applyProtection="1">
      <alignment horizontal="right" vertical="center"/>
      <protection locked="0"/>
    </xf>
    <xf numFmtId="0" fontId="11" fillId="12" borderId="1" xfId="0" applyFont="1" applyFill="1" applyBorder="1" applyAlignment="1" applyProtection="1">
      <alignment horizontal="center" vertical="center"/>
    </xf>
    <xf numFmtId="0" fontId="11" fillId="12" borderId="1" xfId="0" applyFont="1" applyFill="1" applyBorder="1" applyAlignment="1" applyProtection="1">
      <alignment vertical="center"/>
    </xf>
    <xf numFmtId="0" fontId="13" fillId="12" borderId="0" xfId="0" applyFont="1" applyFill="1" applyAlignment="1" applyProtection="1">
      <alignment horizontal="center" vertical="center"/>
    </xf>
  </cellXfs>
  <cellStyles count="25">
    <cellStyle name="bsbody" xfId="1"/>
    <cellStyle name="bsfoot" xfId="2"/>
    <cellStyle name="bshead" xfId="3"/>
    <cellStyle name="Currency" xfId="23" builtinId="4"/>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ercent" xfId="24" builtinId="5"/>
    <cellStyle name="POA" xfId="18"/>
    <cellStyle name="POAanswer" xfId="19"/>
    <cellStyle name="POAhead" xfId="20"/>
    <cellStyle name="trialbody" xfId="21"/>
    <cellStyle name="trialhead" xfId="22"/>
  </cellStyles>
  <dxfs count="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74"/>
  <sheetViews>
    <sheetView tabSelected="1" zoomScale="145" zoomScaleNormal="145" workbookViewId="0"/>
  </sheetViews>
  <sheetFormatPr defaultColWidth="0" defaultRowHeight="12.75" zeroHeight="1"/>
  <cols>
    <col min="1" max="1" width="31" style="5" customWidth="1"/>
    <col min="2" max="2" width="26.5703125" style="5" customWidth="1"/>
    <col min="3" max="3" width="9.140625" style="5" hidden="1" customWidth="1"/>
    <col min="4" max="8" width="0" style="5" hidden="1" customWidth="1"/>
    <col min="9" max="16384" width="9.140625" style="5" hidden="1"/>
  </cols>
  <sheetData>
    <row r="1" spans="1:2" ht="21.75" customHeight="1">
      <c r="A1" s="3" t="s">
        <v>0</v>
      </c>
      <c r="B1" s="4" t="s">
        <v>79</v>
      </c>
    </row>
    <row r="2" spans="1:2" ht="21.75" customHeight="1">
      <c r="A2" s="3" t="s">
        <v>1</v>
      </c>
      <c r="B2" s="4">
        <v>11111</v>
      </c>
    </row>
    <row r="3" spans="1:2" ht="21.75" customHeight="1">
      <c r="A3" s="3" t="s">
        <v>2</v>
      </c>
      <c r="B3" s="6">
        <v>42977</v>
      </c>
    </row>
    <row r="4" spans="1:2" hidden="1"/>
    <row r="5" spans="1:2" hidden="1"/>
    <row r="6" spans="1:2" hidden="1">
      <c r="A6" s="3" t="s">
        <v>3</v>
      </c>
    </row>
    <row r="7" spans="1:2" hidden="1"/>
    <row r="8" spans="1:2" hidden="1">
      <c r="B8" s="5">
        <f>B2/10000</f>
        <v>1.1111</v>
      </c>
    </row>
    <row r="9" spans="1:2" hidden="1">
      <c r="B9" s="5">
        <f>TRUNC(B8)</f>
        <v>1</v>
      </c>
    </row>
    <row r="10" spans="1:2" hidden="1">
      <c r="B10" s="5">
        <f>B2/1000</f>
        <v>11.111000000000001</v>
      </c>
    </row>
    <row r="11" spans="1:2" hidden="1">
      <c r="B11" s="5">
        <f>TRUNC(B10)</f>
        <v>11</v>
      </c>
    </row>
    <row r="12" spans="1:2" hidden="1">
      <c r="B12" s="5">
        <f>B11-(B9*10)</f>
        <v>1</v>
      </c>
    </row>
    <row r="13" spans="1:2" hidden="1">
      <c r="B13" s="5">
        <f>B2/100</f>
        <v>111.11</v>
      </c>
    </row>
    <row r="14" spans="1:2" hidden="1">
      <c r="B14" s="5">
        <f>TRUNC(B13)</f>
        <v>111</v>
      </c>
    </row>
    <row r="15" spans="1:2" hidden="1">
      <c r="B15" s="5">
        <f>B14-(B11*10)</f>
        <v>1</v>
      </c>
    </row>
    <row r="16" spans="1:2" hidden="1">
      <c r="B16" s="5">
        <f>B2/10</f>
        <v>1111.0999999999999</v>
      </c>
    </row>
    <row r="17" spans="1:3" hidden="1">
      <c r="B17" s="5">
        <f>TRUNC(B16)</f>
        <v>1111</v>
      </c>
    </row>
    <row r="18" spans="1:3" hidden="1">
      <c r="B18" s="5">
        <f>B17-(B14*10)</f>
        <v>1</v>
      </c>
    </row>
    <row r="19" spans="1:3" hidden="1">
      <c r="B19" s="5">
        <f>B2</f>
        <v>11111</v>
      </c>
    </row>
    <row r="20" spans="1:3" hidden="1">
      <c r="B20" s="5">
        <f>TRUNC(B19)</f>
        <v>11111</v>
      </c>
    </row>
    <row r="21" spans="1:3" hidden="1">
      <c r="B21" s="5">
        <f>B20-(B17*10)</f>
        <v>1</v>
      </c>
    </row>
    <row r="22" spans="1:3" hidden="1"/>
    <row r="23" spans="1:3" hidden="1">
      <c r="B23" s="5">
        <f>B9+B12+B15+B18+B21</f>
        <v>5</v>
      </c>
    </row>
    <row r="24" spans="1:3" hidden="1"/>
    <row r="25" spans="1:3" hidden="1"/>
    <row r="26" spans="1:3" hidden="1">
      <c r="A26" s="5">
        <v>1</v>
      </c>
      <c r="B26" s="5">
        <v>5</v>
      </c>
      <c r="C26" s="5">
        <f>IF(A26=$B$23,B26,0)</f>
        <v>0</v>
      </c>
    </row>
    <row r="27" spans="1:3" hidden="1">
      <c r="A27" s="5">
        <v>2</v>
      </c>
      <c r="B27" s="5">
        <v>7</v>
      </c>
      <c r="C27" s="5">
        <f t="shared" ref="C27:C70" si="0">IF(A27=$B$23,B27,0)</f>
        <v>0</v>
      </c>
    </row>
    <row r="28" spans="1:3" hidden="1">
      <c r="A28" s="5">
        <v>3</v>
      </c>
      <c r="B28" s="5">
        <v>6</v>
      </c>
      <c r="C28" s="5">
        <f t="shared" si="0"/>
        <v>0</v>
      </c>
    </row>
    <row r="29" spans="1:3" hidden="1">
      <c r="A29" s="5">
        <v>4</v>
      </c>
      <c r="B29" s="5">
        <v>2</v>
      </c>
      <c r="C29" s="5">
        <f t="shared" si="0"/>
        <v>0</v>
      </c>
    </row>
    <row r="30" spans="1:3" hidden="1">
      <c r="A30" s="5">
        <v>5</v>
      </c>
      <c r="B30" s="5">
        <v>9</v>
      </c>
      <c r="C30" s="5">
        <f t="shared" si="0"/>
        <v>9</v>
      </c>
    </row>
    <row r="31" spans="1:3" hidden="1">
      <c r="A31" s="5">
        <v>6</v>
      </c>
      <c r="B31" s="5">
        <v>2</v>
      </c>
      <c r="C31" s="5">
        <f t="shared" si="0"/>
        <v>0</v>
      </c>
    </row>
    <row r="32" spans="1:3" hidden="1">
      <c r="A32" s="5">
        <v>7</v>
      </c>
      <c r="B32" s="5">
        <v>3</v>
      </c>
      <c r="C32" s="5">
        <f t="shared" si="0"/>
        <v>0</v>
      </c>
    </row>
    <row r="33" spans="1:3" hidden="1">
      <c r="A33" s="5">
        <v>8</v>
      </c>
      <c r="B33" s="5">
        <v>7</v>
      </c>
      <c r="C33" s="5">
        <f t="shared" si="0"/>
        <v>0</v>
      </c>
    </row>
    <row r="34" spans="1:3" hidden="1">
      <c r="A34" s="5">
        <v>9</v>
      </c>
      <c r="B34" s="5">
        <v>3</v>
      </c>
      <c r="C34" s="5">
        <f t="shared" si="0"/>
        <v>0</v>
      </c>
    </row>
    <row r="35" spans="1:3" hidden="1">
      <c r="A35" s="5">
        <v>10</v>
      </c>
      <c r="B35" s="5">
        <v>9</v>
      </c>
      <c r="C35" s="5">
        <f t="shared" si="0"/>
        <v>0</v>
      </c>
    </row>
    <row r="36" spans="1:3" hidden="1">
      <c r="A36" s="5">
        <v>11</v>
      </c>
      <c r="B36" s="5">
        <v>7</v>
      </c>
      <c r="C36" s="5">
        <f t="shared" si="0"/>
        <v>0</v>
      </c>
    </row>
    <row r="37" spans="1:3" hidden="1">
      <c r="A37" s="5">
        <v>12</v>
      </c>
      <c r="B37" s="5">
        <v>6</v>
      </c>
      <c r="C37" s="5">
        <f t="shared" si="0"/>
        <v>0</v>
      </c>
    </row>
    <row r="38" spans="1:3" hidden="1">
      <c r="A38" s="5">
        <v>13</v>
      </c>
      <c r="B38" s="5">
        <v>6</v>
      </c>
      <c r="C38" s="5">
        <f t="shared" si="0"/>
        <v>0</v>
      </c>
    </row>
    <row r="39" spans="1:3" hidden="1">
      <c r="A39" s="5">
        <v>14</v>
      </c>
      <c r="B39" s="5">
        <v>2</v>
      </c>
      <c r="C39" s="5">
        <f t="shared" si="0"/>
        <v>0</v>
      </c>
    </row>
    <row r="40" spans="1:3" hidden="1">
      <c r="A40" s="5">
        <v>15</v>
      </c>
      <c r="B40" s="5">
        <v>5</v>
      </c>
      <c r="C40" s="5">
        <f t="shared" si="0"/>
        <v>0</v>
      </c>
    </row>
    <row r="41" spans="1:3" hidden="1">
      <c r="A41" s="5">
        <v>16</v>
      </c>
      <c r="B41" s="5">
        <v>3</v>
      </c>
      <c r="C41" s="5">
        <f t="shared" si="0"/>
        <v>0</v>
      </c>
    </row>
    <row r="42" spans="1:3" hidden="1">
      <c r="A42" s="5">
        <v>17</v>
      </c>
      <c r="B42" s="5">
        <v>7</v>
      </c>
      <c r="C42" s="5">
        <f t="shared" si="0"/>
        <v>0</v>
      </c>
    </row>
    <row r="43" spans="1:3" hidden="1">
      <c r="A43" s="5">
        <v>18</v>
      </c>
      <c r="B43" s="5">
        <v>5</v>
      </c>
      <c r="C43" s="5">
        <f t="shared" si="0"/>
        <v>0</v>
      </c>
    </row>
    <row r="44" spans="1:3" hidden="1">
      <c r="A44" s="5">
        <v>19</v>
      </c>
      <c r="B44" s="5">
        <v>5</v>
      </c>
      <c r="C44" s="5">
        <f t="shared" si="0"/>
        <v>0</v>
      </c>
    </row>
    <row r="45" spans="1:3" hidden="1">
      <c r="A45" s="5">
        <v>20</v>
      </c>
      <c r="B45" s="5">
        <v>8</v>
      </c>
      <c r="C45" s="5">
        <f t="shared" si="0"/>
        <v>0</v>
      </c>
    </row>
    <row r="46" spans="1:3" hidden="1">
      <c r="A46" s="5">
        <v>21</v>
      </c>
      <c r="B46" s="5">
        <v>9</v>
      </c>
      <c r="C46" s="5">
        <f t="shared" si="0"/>
        <v>0</v>
      </c>
    </row>
    <row r="47" spans="1:3" hidden="1">
      <c r="A47" s="5">
        <v>22</v>
      </c>
      <c r="B47" s="5">
        <v>9</v>
      </c>
      <c r="C47" s="5">
        <f t="shared" si="0"/>
        <v>0</v>
      </c>
    </row>
    <row r="48" spans="1:3" hidden="1">
      <c r="A48" s="5">
        <v>23</v>
      </c>
      <c r="B48" s="5">
        <v>8</v>
      </c>
      <c r="C48" s="5">
        <f t="shared" si="0"/>
        <v>0</v>
      </c>
    </row>
    <row r="49" spans="1:3" hidden="1">
      <c r="A49" s="5">
        <v>24</v>
      </c>
      <c r="B49" s="5">
        <v>7</v>
      </c>
      <c r="C49" s="5">
        <f t="shared" si="0"/>
        <v>0</v>
      </c>
    </row>
    <row r="50" spans="1:3" hidden="1">
      <c r="A50" s="5">
        <v>25</v>
      </c>
      <c r="B50" s="5">
        <v>2</v>
      </c>
      <c r="C50" s="5">
        <f t="shared" si="0"/>
        <v>0</v>
      </c>
    </row>
    <row r="51" spans="1:3" hidden="1">
      <c r="A51" s="5">
        <v>26</v>
      </c>
      <c r="B51" s="5">
        <v>4</v>
      </c>
      <c r="C51" s="5">
        <f t="shared" si="0"/>
        <v>0</v>
      </c>
    </row>
    <row r="52" spans="1:3" hidden="1">
      <c r="A52" s="5">
        <v>27</v>
      </c>
      <c r="B52" s="5">
        <v>3</v>
      </c>
      <c r="C52" s="5">
        <f t="shared" si="0"/>
        <v>0</v>
      </c>
    </row>
    <row r="53" spans="1:3" hidden="1">
      <c r="A53" s="5">
        <v>28</v>
      </c>
      <c r="B53" s="5">
        <v>5</v>
      </c>
      <c r="C53" s="5">
        <f t="shared" si="0"/>
        <v>0</v>
      </c>
    </row>
    <row r="54" spans="1:3" hidden="1">
      <c r="A54" s="5">
        <v>29</v>
      </c>
      <c r="B54" s="5">
        <v>5</v>
      </c>
      <c r="C54" s="5">
        <f t="shared" si="0"/>
        <v>0</v>
      </c>
    </row>
    <row r="55" spans="1:3" hidden="1">
      <c r="A55" s="5">
        <v>30</v>
      </c>
      <c r="B55" s="5">
        <v>4</v>
      </c>
      <c r="C55" s="5">
        <f>IF(A55=$B$23,B55,0)</f>
        <v>0</v>
      </c>
    </row>
    <row r="56" spans="1:3" hidden="1">
      <c r="A56" s="5">
        <v>31</v>
      </c>
      <c r="B56" s="5">
        <v>6</v>
      </c>
      <c r="C56" s="5">
        <f t="shared" si="0"/>
        <v>0</v>
      </c>
    </row>
    <row r="57" spans="1:3" hidden="1">
      <c r="A57" s="5">
        <v>32</v>
      </c>
      <c r="B57" s="5">
        <v>6</v>
      </c>
      <c r="C57" s="5">
        <f t="shared" si="0"/>
        <v>0</v>
      </c>
    </row>
    <row r="58" spans="1:3" hidden="1">
      <c r="A58" s="5">
        <v>33</v>
      </c>
      <c r="B58" s="5">
        <v>2</v>
      </c>
      <c r="C58" s="5">
        <f t="shared" si="0"/>
        <v>0</v>
      </c>
    </row>
    <row r="59" spans="1:3" hidden="1">
      <c r="A59" s="5">
        <v>34</v>
      </c>
      <c r="B59" s="5">
        <v>7</v>
      </c>
      <c r="C59" s="5">
        <f t="shared" si="0"/>
        <v>0</v>
      </c>
    </row>
    <row r="60" spans="1:3" hidden="1">
      <c r="A60" s="5">
        <v>35</v>
      </c>
      <c r="B60" s="5">
        <v>9</v>
      </c>
      <c r="C60" s="5">
        <f t="shared" si="0"/>
        <v>0</v>
      </c>
    </row>
    <row r="61" spans="1:3" hidden="1">
      <c r="A61" s="5">
        <v>36</v>
      </c>
      <c r="B61" s="5">
        <v>7</v>
      </c>
      <c r="C61" s="5">
        <f t="shared" si="0"/>
        <v>0</v>
      </c>
    </row>
    <row r="62" spans="1:3" hidden="1">
      <c r="A62" s="5">
        <v>37</v>
      </c>
      <c r="B62" s="5">
        <v>5</v>
      </c>
      <c r="C62" s="5">
        <f t="shared" si="0"/>
        <v>0</v>
      </c>
    </row>
    <row r="63" spans="1:3" hidden="1">
      <c r="A63" s="5">
        <v>38</v>
      </c>
      <c r="B63" s="5">
        <v>5</v>
      </c>
      <c r="C63" s="5">
        <f t="shared" si="0"/>
        <v>0</v>
      </c>
    </row>
    <row r="64" spans="1:3" hidden="1">
      <c r="A64" s="5">
        <v>39</v>
      </c>
      <c r="B64" s="5">
        <v>2</v>
      </c>
      <c r="C64" s="5">
        <f t="shared" si="0"/>
        <v>0</v>
      </c>
    </row>
    <row r="65" spans="1:8" hidden="1">
      <c r="A65" s="5">
        <v>40</v>
      </c>
      <c r="B65" s="5">
        <v>2</v>
      </c>
      <c r="C65" s="5">
        <f t="shared" si="0"/>
        <v>0</v>
      </c>
    </row>
    <row r="66" spans="1:8" hidden="1">
      <c r="A66" s="5">
        <v>41</v>
      </c>
      <c r="B66" s="5">
        <v>6</v>
      </c>
      <c r="C66" s="5">
        <f t="shared" si="0"/>
        <v>0</v>
      </c>
    </row>
    <row r="67" spans="1:8" hidden="1">
      <c r="A67" s="5">
        <v>42</v>
      </c>
      <c r="B67" s="5">
        <v>9</v>
      </c>
      <c r="C67" s="5">
        <f t="shared" si="0"/>
        <v>0</v>
      </c>
    </row>
    <row r="68" spans="1:8" hidden="1">
      <c r="A68" s="5">
        <v>43</v>
      </c>
      <c r="B68" s="5">
        <v>8</v>
      </c>
      <c r="C68" s="5">
        <f t="shared" si="0"/>
        <v>0</v>
      </c>
    </row>
    <row r="69" spans="1:8" hidden="1">
      <c r="A69" s="5">
        <v>44</v>
      </c>
      <c r="B69" s="5">
        <v>9</v>
      </c>
      <c r="C69" s="5">
        <f t="shared" si="0"/>
        <v>0</v>
      </c>
    </row>
    <row r="70" spans="1:8" hidden="1">
      <c r="A70" s="5">
        <v>45</v>
      </c>
      <c r="B70" s="5">
        <v>8</v>
      </c>
      <c r="C70" s="5">
        <f t="shared" si="0"/>
        <v>0</v>
      </c>
    </row>
    <row r="71" spans="1:8" hidden="1">
      <c r="A71" s="5" t="s">
        <v>4</v>
      </c>
      <c r="C71" s="1">
        <f>SUM(C26:C70)</f>
        <v>9</v>
      </c>
      <c r="D71" s="1">
        <f>B23</f>
        <v>5</v>
      </c>
      <c r="E71" s="1">
        <f>B14</f>
        <v>111</v>
      </c>
      <c r="F71" s="1">
        <f>B17</f>
        <v>1111</v>
      </c>
      <c r="G71" s="1">
        <f>B19</f>
        <v>11111</v>
      </c>
      <c r="H71" s="1">
        <f>G71/C71</f>
        <v>1234.5555555555557</v>
      </c>
    </row>
    <row r="72" spans="1:8" hidden="1">
      <c r="C72" s="1">
        <f>D72/9</f>
        <v>1.3888888888888888</v>
      </c>
      <c r="D72" s="1">
        <f>D71*2.5</f>
        <v>12.5</v>
      </c>
      <c r="E72" s="1">
        <f>E71*2.5</f>
        <v>277.5</v>
      </c>
      <c r="F72" s="1">
        <f>F71*2.5</f>
        <v>2777.5</v>
      </c>
      <c r="G72" s="1">
        <f>G71*2.5</f>
        <v>27777.5</v>
      </c>
      <c r="H72" s="1">
        <f>H71*2.5</f>
        <v>3086.3888888888891</v>
      </c>
    </row>
    <row r="73" spans="1:8" hidden="1">
      <c r="C73" s="1">
        <f>(C72+C71)/2</f>
        <v>5.1944444444444446</v>
      </c>
      <c r="D73" s="1">
        <f>$C$73*D71</f>
        <v>25.972222222222221</v>
      </c>
      <c r="E73" s="1">
        <f>$C$73*E71</f>
        <v>576.58333333333337</v>
      </c>
      <c r="F73" s="1">
        <f>$C$73*F71</f>
        <v>5771.0277777777783</v>
      </c>
      <c r="G73" s="1">
        <f>$C$73*G71</f>
        <v>57715.472222222226</v>
      </c>
      <c r="H73" s="1">
        <f>$C$73*H71</f>
        <v>6412.8302469135806</v>
      </c>
    </row>
    <row r="74" spans="1:8" hidden="1">
      <c r="C74" s="1">
        <f>SUM(C72:C73)</f>
        <v>6.5833333333333339</v>
      </c>
      <c r="D74" s="1">
        <f>$C$74*C71</f>
        <v>59.250000000000007</v>
      </c>
      <c r="E74" s="1">
        <f>$C$74*D71</f>
        <v>32.916666666666671</v>
      </c>
      <c r="F74" s="1">
        <f>$C$74*E71</f>
        <v>730.75000000000011</v>
      </c>
      <c r="G74" s="1">
        <f>$C$74*F71</f>
        <v>7314.0833333333339</v>
      </c>
      <c r="H74" s="1">
        <f>$C$74*G71</f>
        <v>73147.416666666672</v>
      </c>
    </row>
  </sheetData>
  <sheetProtection password="BD06"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8"/>
  <sheetViews>
    <sheetView zoomScale="120" zoomScaleNormal="120" workbookViewId="0">
      <selection activeCell="I9" sqref="I9"/>
    </sheetView>
  </sheetViews>
  <sheetFormatPr defaultColWidth="0" defaultRowHeight="12.75" zeroHeight="1"/>
  <cols>
    <col min="1" max="1" width="9.140625" style="7" customWidth="1"/>
    <col min="2" max="2" width="13.140625" style="7" customWidth="1"/>
    <col min="3" max="3" width="11.42578125" style="7" customWidth="1"/>
    <col min="4" max="4" width="2.5703125" style="7" customWidth="1"/>
    <col min="5" max="5" width="20.85546875" style="7" customWidth="1"/>
    <col min="6" max="6" width="2.5703125" style="7" customWidth="1"/>
    <col min="7" max="7" width="13.7109375" style="7" customWidth="1"/>
    <col min="8" max="8" width="2.5703125" style="7" customWidth="1"/>
    <col min="9" max="9" width="15.42578125" style="7" customWidth="1"/>
    <col min="10" max="10" width="2.5703125" style="7" customWidth="1"/>
    <col min="11" max="11" width="13.140625" style="7" customWidth="1"/>
    <col min="12" max="12" width="2.5703125" style="7" customWidth="1"/>
    <col min="13" max="13" width="16.85546875" style="7" customWidth="1"/>
    <col min="14" max="14" width="2.5703125" style="7" customWidth="1"/>
    <col min="15" max="15" width="15" style="7" bestFit="1" customWidth="1"/>
    <col min="16" max="16" width="4.28515625" style="7" customWidth="1"/>
    <col min="17" max="19" width="4.28515625" style="7" hidden="1"/>
    <col min="20" max="20" width="22.28515625" style="7" hidden="1"/>
    <col min="21" max="21" width="16.7109375" style="8" hidden="1"/>
    <col min="22" max="22" width="3.7109375" style="7" hidden="1"/>
    <col min="23" max="23" width="9.140625" style="7" hidden="1"/>
    <col min="24" max="24" width="13.140625" style="7" hidden="1"/>
    <col min="25" max="25" width="11.42578125" style="7" hidden="1"/>
    <col min="26" max="26" width="2.5703125" style="7" hidden="1"/>
    <col min="27" max="27" width="20.85546875" style="7" hidden="1"/>
    <col min="28" max="28" width="2.5703125" style="7" hidden="1"/>
    <col min="29" max="29" width="13.7109375" style="7" hidden="1"/>
    <col min="30" max="30" width="2.5703125" style="7" hidden="1"/>
    <col min="31" max="31" width="15.42578125" style="7" hidden="1"/>
    <col min="32" max="32" width="2.5703125" style="7" hidden="1"/>
    <col min="33" max="33" width="13.140625" style="7" hidden="1"/>
    <col min="34" max="34" width="2.5703125" style="7" hidden="1"/>
    <col min="35" max="35" width="16.85546875" style="7" hidden="1"/>
    <col min="36" max="36" width="2.5703125" style="7" hidden="1"/>
    <col min="37" max="37" width="15" style="7" hidden="1"/>
    <col min="38" max="38" width="4.28515625" style="7" hidden="1"/>
    <col min="39" max="39" width="9.85546875" style="7" hidden="1"/>
    <col min="40" max="40" width="9.140625" style="7" hidden="1"/>
    <col min="41" max="41" width="11.42578125" style="7" hidden="1"/>
    <col min="42" max="16384" width="9.140625" style="7" hidden="1"/>
  </cols>
  <sheetData>
    <row r="1" spans="1:48" ht="53.25" customHeight="1">
      <c r="B1" s="63" t="s">
        <v>74</v>
      </c>
      <c r="C1" s="63"/>
      <c r="D1" s="63"/>
      <c r="E1" s="63"/>
      <c r="F1" s="63"/>
      <c r="G1" s="63"/>
      <c r="H1" s="63"/>
      <c r="I1" s="63"/>
      <c r="J1" s="63"/>
      <c r="K1" s="63"/>
      <c r="L1" s="63"/>
      <c r="M1" s="63"/>
      <c r="N1" s="63"/>
      <c r="O1" s="63"/>
      <c r="AO1" s="9"/>
    </row>
    <row r="2" spans="1:48">
      <c r="AO2" s="10"/>
      <c r="AP2" s="1">
        <f>Identification!C71</f>
        <v>9</v>
      </c>
      <c r="AQ2" s="1">
        <f>Identification!D71</f>
        <v>5</v>
      </c>
      <c r="AR2" s="1">
        <f>Identification!E71</f>
        <v>111</v>
      </c>
      <c r="AS2" s="1">
        <f>Identification!F71</f>
        <v>1111</v>
      </c>
      <c r="AT2" s="1">
        <f>Identification!G71</f>
        <v>11111</v>
      </c>
      <c r="AU2" s="1">
        <f>Identification!H71</f>
        <v>1234.5555555555557</v>
      </c>
    </row>
    <row r="3" spans="1:48" ht="90.75" customHeight="1">
      <c r="B3" s="67" t="str">
        <f>X3</f>
        <v>Enter Name Here Construction, LLC is the largest builder of custom homes in the United States.  In part, Enter Name Here Construction, LLC has been so successful due to its financing policy which requires a customer to only pay 50% of the total construction costs up front with the remainder due once the project has been completed.  The company relies heavily on new customer's upfront deposits to continue funding the construction of any homes in progress.  When there is a downturn in the construction industry Enter Name Here Construction, LLC requires external funding.  It obtains this funding through the issuance of bonds.</v>
      </c>
      <c r="C3" s="67"/>
      <c r="D3" s="67"/>
      <c r="E3" s="67"/>
      <c r="F3" s="67"/>
      <c r="G3" s="67"/>
      <c r="H3" s="67"/>
      <c r="I3" s="67"/>
      <c r="J3" s="67"/>
      <c r="K3" s="67"/>
      <c r="L3" s="67"/>
      <c r="M3" s="67"/>
      <c r="N3" s="67"/>
      <c r="O3" s="67"/>
      <c r="X3" s="67" t="str">
        <f>CONCATENATE(Identification!$B$1, " Construction, LLC is the largest builder of custom homes in the United States.  In part, ", Identification!$B$1, AV3, Identification!$B$1, " Construction, LLC requires external funding.  It obtains this funding through the issuance of bonds.")</f>
        <v>Enter Name Here Construction, LLC is the largest builder of custom homes in the United States.  In part, Enter Name Here Construction, LLC has been so successful due to its financing policy which requires a customer to only pay 50% of the total construction costs up front with the remainder due once the project has been completed.  The company relies heavily on new customer's upfront deposits to continue funding the construction of any homes in progress.  When there is a downturn in the construction industry Enter Name Here Construction, LLC requires external funding.  It obtains this funding through the issuance of bonds.</v>
      </c>
      <c r="Y3" s="67"/>
      <c r="Z3" s="67"/>
      <c r="AA3" s="67"/>
      <c r="AB3" s="67"/>
      <c r="AC3" s="67"/>
      <c r="AD3" s="67"/>
      <c r="AE3" s="67"/>
      <c r="AF3" s="67"/>
      <c r="AG3" s="67"/>
      <c r="AH3" s="67"/>
      <c r="AI3" s="67"/>
      <c r="AJ3" s="67"/>
      <c r="AK3" s="67"/>
      <c r="AP3" s="1">
        <f>Identification!C72</f>
        <v>1.3888888888888888</v>
      </c>
      <c r="AQ3" s="1">
        <f>Identification!D72</f>
        <v>12.5</v>
      </c>
      <c r="AR3" s="1">
        <f>Identification!E72</f>
        <v>277.5</v>
      </c>
      <c r="AS3" s="1">
        <f>Identification!F72</f>
        <v>2777.5</v>
      </c>
      <c r="AT3" s="1">
        <f>Identification!G72</f>
        <v>27777.5</v>
      </c>
      <c r="AU3" s="1">
        <f>Identification!H72</f>
        <v>3086.3888888888891</v>
      </c>
      <c r="AV3" s="9" t="s">
        <v>73</v>
      </c>
    </row>
    <row r="4" spans="1:48" ht="13.5" customHeight="1">
      <c r="AP4" s="1">
        <f>ROUND(Identification!C73,0)</f>
        <v>5</v>
      </c>
      <c r="AQ4" s="1">
        <f>Identification!D73</f>
        <v>25.972222222222221</v>
      </c>
      <c r="AR4" s="1">
        <f>Identification!E73</f>
        <v>576.58333333333337</v>
      </c>
      <c r="AS4" s="1">
        <f>Identification!F73</f>
        <v>5771.0277777777783</v>
      </c>
      <c r="AT4" s="1">
        <f>Identification!G73</f>
        <v>57715.472222222226</v>
      </c>
      <c r="AU4" s="1">
        <f>Identification!H73</f>
        <v>6412.8302469135806</v>
      </c>
    </row>
    <row r="5" spans="1:48" ht="63" customHeight="1">
      <c r="A5" s="11" t="s">
        <v>5</v>
      </c>
      <c r="B5" s="63" t="str">
        <f>X5</f>
        <v>A new staff accountant who has very little experience with bonds has approached you and asked you to help her understand how to create an amortization schedule under the effective-interest method for bonds issued at premiums and discounts.  Complete the amortization schedule below by selecting the appropriate formula from the drop down for the first two years.  Assume that a five-year $100,000 bond with a coupon rate of 10% was issued and dated January 1, 20X1.  Interest payments are on an annual basis and due on December 31 of each year.  NOTE:  Format column "M" to show the amortization of the discount/premium as a positive amount.</v>
      </c>
      <c r="C5" s="63"/>
      <c r="D5" s="63"/>
      <c r="E5" s="63"/>
      <c r="F5" s="63"/>
      <c r="G5" s="63"/>
      <c r="H5" s="63"/>
      <c r="I5" s="63"/>
      <c r="J5" s="63"/>
      <c r="K5" s="63"/>
      <c r="L5" s="63"/>
      <c r="M5" s="63"/>
      <c r="N5" s="63"/>
      <c r="O5" s="63"/>
      <c r="U5" s="12"/>
      <c r="W5" s="11" t="s">
        <v>5</v>
      </c>
      <c r="X5" s="63" t="s">
        <v>47</v>
      </c>
      <c r="Y5" s="63"/>
      <c r="Z5" s="63"/>
      <c r="AA5" s="63"/>
      <c r="AB5" s="63"/>
      <c r="AC5" s="63"/>
      <c r="AD5" s="63"/>
      <c r="AE5" s="63"/>
      <c r="AF5" s="63"/>
      <c r="AG5" s="63"/>
      <c r="AH5" s="63"/>
      <c r="AI5" s="63"/>
      <c r="AJ5" s="63"/>
      <c r="AK5" s="63"/>
      <c r="AM5" s="9" t="s">
        <v>17</v>
      </c>
      <c r="AP5" s="1">
        <f>Identification!C74</f>
        <v>6.5833333333333339</v>
      </c>
      <c r="AQ5" s="1">
        <f>Identification!D74</f>
        <v>59.250000000000007</v>
      </c>
      <c r="AR5" s="1">
        <f>Identification!E74</f>
        <v>32.916666666666671</v>
      </c>
      <c r="AS5" s="1">
        <f>Identification!F74</f>
        <v>730.75000000000011</v>
      </c>
      <c r="AT5" s="1">
        <f>Identification!G74</f>
        <v>7314.0833333333339</v>
      </c>
      <c r="AU5" s="1">
        <f>Identification!H74</f>
        <v>73147.416666666672</v>
      </c>
      <c r="AV5" s="9"/>
    </row>
    <row r="6" spans="1:48" ht="22.5" customHeight="1">
      <c r="U6" s="8" t="str">
        <f>$AE$10</f>
        <v xml:space="preserve"> =E10*G10</v>
      </c>
      <c r="AV6" s="9"/>
    </row>
    <row r="7" spans="1:48" ht="23.25" customHeight="1">
      <c r="E7" s="136" t="s">
        <v>11</v>
      </c>
      <c r="F7" s="136"/>
      <c r="G7" s="136" t="s">
        <v>12</v>
      </c>
      <c r="H7" s="136"/>
      <c r="I7" s="136" t="s">
        <v>13</v>
      </c>
      <c r="J7" s="136"/>
      <c r="K7" s="136" t="s">
        <v>14</v>
      </c>
      <c r="L7" s="136"/>
      <c r="M7" s="136" t="s">
        <v>21</v>
      </c>
      <c r="N7" s="136"/>
      <c r="O7" s="136" t="s">
        <v>22</v>
      </c>
      <c r="U7" s="8" t="str">
        <f>$AK$10</f>
        <v xml:space="preserve"> =E10+M10</v>
      </c>
      <c r="AA7" s="13" t="s">
        <v>11</v>
      </c>
      <c r="AB7" s="13"/>
      <c r="AC7" s="13" t="s">
        <v>12</v>
      </c>
      <c r="AD7" s="13"/>
      <c r="AE7" s="13" t="s">
        <v>13</v>
      </c>
      <c r="AF7" s="13"/>
      <c r="AG7" s="13" t="s">
        <v>14</v>
      </c>
      <c r="AH7" s="13"/>
      <c r="AI7" s="13" t="s">
        <v>21</v>
      </c>
      <c r="AJ7" s="13"/>
      <c r="AK7" s="13" t="s">
        <v>22</v>
      </c>
      <c r="AP7" s="2"/>
      <c r="AQ7" s="2"/>
      <c r="AR7" s="2"/>
      <c r="AS7" s="2"/>
      <c r="AT7" s="2"/>
      <c r="AU7" s="2"/>
      <c r="AV7" s="9"/>
    </row>
    <row r="8" spans="1:48" ht="44.25" customHeight="1">
      <c r="C8" s="86"/>
      <c r="D8" s="86"/>
      <c r="E8" s="86" t="s">
        <v>6</v>
      </c>
      <c r="F8" s="87"/>
      <c r="G8" s="86" t="s">
        <v>23</v>
      </c>
      <c r="H8" s="87"/>
      <c r="I8" s="86" t="s">
        <v>7</v>
      </c>
      <c r="J8" s="88"/>
      <c r="K8" s="86" t="s">
        <v>8</v>
      </c>
      <c r="L8" s="86"/>
      <c r="M8" s="86" t="s">
        <v>9</v>
      </c>
      <c r="N8" s="88"/>
      <c r="O8" s="86" t="s">
        <v>10</v>
      </c>
      <c r="U8" s="8" t="str">
        <f>$AE$12</f>
        <v xml:space="preserve"> =E12*G12</v>
      </c>
      <c r="Y8" s="14"/>
      <c r="Z8" s="14"/>
      <c r="AA8" s="14" t="s">
        <v>6</v>
      </c>
      <c r="AB8" s="15"/>
      <c r="AC8" s="14" t="s">
        <v>23</v>
      </c>
      <c r="AD8" s="15"/>
      <c r="AE8" s="14" t="s">
        <v>7</v>
      </c>
      <c r="AF8" s="16"/>
      <c r="AG8" s="14" t="s">
        <v>8</v>
      </c>
      <c r="AH8" s="14"/>
      <c r="AI8" s="14" t="s">
        <v>9</v>
      </c>
      <c r="AJ8" s="16"/>
      <c r="AK8" s="14" t="s">
        <v>10</v>
      </c>
      <c r="AO8" s="9" t="s">
        <v>42</v>
      </c>
      <c r="AP8" s="17">
        <f>AP2*5</f>
        <v>45</v>
      </c>
      <c r="AQ8" s="17">
        <f>AQ2*5</f>
        <v>25</v>
      </c>
      <c r="AR8" s="17">
        <f>AR2*5</f>
        <v>555</v>
      </c>
      <c r="AS8" s="17"/>
      <c r="AT8" s="17"/>
      <c r="AU8" s="17"/>
    </row>
    <row r="9" spans="1:48" ht="18" customHeight="1">
      <c r="A9" s="13">
        <v>9</v>
      </c>
      <c r="B9" s="89" t="s">
        <v>16</v>
      </c>
      <c r="C9" s="90" t="s">
        <v>19</v>
      </c>
      <c r="D9" s="19"/>
      <c r="E9" s="20">
        <f>-PV(G9,5,K9,100000)</f>
        <v>92790.44759530999</v>
      </c>
      <c r="F9" s="21"/>
      <c r="G9" s="22">
        <v>0.12</v>
      </c>
      <c r="H9" s="21"/>
      <c r="I9" s="85"/>
      <c r="J9" s="21"/>
      <c r="K9" s="23">
        <v>10000</v>
      </c>
      <c r="L9" s="21"/>
      <c r="M9" s="85"/>
      <c r="N9" s="21"/>
      <c r="O9" s="85"/>
      <c r="U9" s="8" t="str">
        <f>$AK$12</f>
        <v xml:space="preserve"> =E12-M12</v>
      </c>
      <c r="W9" s="13">
        <v>9</v>
      </c>
      <c r="X9" s="68" t="s">
        <v>16</v>
      </c>
      <c r="Y9" s="18" t="s">
        <v>19</v>
      </c>
      <c r="Z9" s="19"/>
      <c r="AA9" s="20">
        <f>-PV(AC9,5,AG9,100000)</f>
        <v>92790.44759530999</v>
      </c>
      <c r="AB9" s="21"/>
      <c r="AC9" s="22">
        <v>0.12</v>
      </c>
      <c r="AD9" s="21"/>
      <c r="AE9" s="24" t="s">
        <v>24</v>
      </c>
      <c r="AF9" s="21"/>
      <c r="AG9" s="23">
        <v>10000</v>
      </c>
      <c r="AH9" s="21"/>
      <c r="AI9" s="24" t="s">
        <v>25</v>
      </c>
      <c r="AJ9" s="21"/>
      <c r="AK9" s="24" t="s">
        <v>26</v>
      </c>
      <c r="AO9" s="25">
        <f>AU9</f>
        <v>0.09</v>
      </c>
      <c r="AP9" s="17">
        <f>AP3*$AP$2</f>
        <v>12.5</v>
      </c>
      <c r="AQ9" s="17">
        <f t="shared" ref="AQ9:AR9" si="0">AQ3*$AP$2</f>
        <v>112.5</v>
      </c>
      <c r="AR9" s="17">
        <f t="shared" si="0"/>
        <v>2497.5</v>
      </c>
      <c r="AS9" s="17"/>
      <c r="AT9" s="26">
        <f>IF(AP2=1,(AP2+1)/100,AP2/100)</f>
        <v>0.09</v>
      </c>
      <c r="AU9" s="27">
        <f>IF(AT9&lt;=5%,AT9+5%,AT9)</f>
        <v>0.09</v>
      </c>
    </row>
    <row r="10" spans="1:48" ht="18" customHeight="1">
      <c r="A10" s="13">
        <v>10</v>
      </c>
      <c r="B10" s="89"/>
      <c r="C10" s="90" t="s">
        <v>20</v>
      </c>
      <c r="D10" s="19"/>
      <c r="E10" s="85"/>
      <c r="F10" s="21"/>
      <c r="G10" s="22">
        <v>0.12</v>
      </c>
      <c r="H10" s="21"/>
      <c r="I10" s="85"/>
      <c r="J10" s="21"/>
      <c r="K10" s="23">
        <v>10000</v>
      </c>
      <c r="L10" s="21"/>
      <c r="M10" s="85"/>
      <c r="N10" s="21"/>
      <c r="O10" s="85"/>
      <c r="U10" s="8" t="str">
        <f>$AE$13</f>
        <v xml:space="preserve"> =E13*G13</v>
      </c>
      <c r="W10" s="13">
        <v>10</v>
      </c>
      <c r="X10" s="68"/>
      <c r="Y10" s="18" t="s">
        <v>20</v>
      </c>
      <c r="Z10" s="19"/>
      <c r="AA10" s="24" t="s">
        <v>27</v>
      </c>
      <c r="AB10" s="21"/>
      <c r="AC10" s="22">
        <v>0.12</v>
      </c>
      <c r="AD10" s="21"/>
      <c r="AE10" s="24" t="s">
        <v>31</v>
      </c>
      <c r="AF10" s="21"/>
      <c r="AG10" s="23">
        <v>10000</v>
      </c>
      <c r="AH10" s="21"/>
      <c r="AI10" s="24" t="s">
        <v>28</v>
      </c>
      <c r="AJ10" s="21"/>
      <c r="AK10" s="24" t="s">
        <v>29</v>
      </c>
      <c r="AP10" s="17">
        <f>AP4*5</f>
        <v>25</v>
      </c>
      <c r="AQ10" s="17">
        <f t="shared" ref="AQ10:AR10" si="1">AQ4*5</f>
        <v>129.86111111111111</v>
      </c>
      <c r="AR10" s="17">
        <f t="shared" si="1"/>
        <v>2882.916666666667</v>
      </c>
      <c r="AS10" s="17"/>
      <c r="AT10" s="17"/>
      <c r="AU10" s="17"/>
    </row>
    <row r="11" spans="1:48" ht="18" customHeight="1">
      <c r="A11" s="13"/>
      <c r="B11" s="28"/>
      <c r="C11" s="29"/>
      <c r="D11" s="28"/>
      <c r="E11" s="30"/>
      <c r="F11" s="31"/>
      <c r="G11" s="32"/>
      <c r="H11" s="31"/>
      <c r="I11" s="30"/>
      <c r="J11" s="31"/>
      <c r="K11" s="30"/>
      <c r="L11" s="31"/>
      <c r="M11" s="30"/>
      <c r="N11" s="31"/>
      <c r="O11" s="31"/>
      <c r="U11" s="8" t="str">
        <f>$AK$13</f>
        <v xml:space="preserve"> =E13-M13</v>
      </c>
      <c r="W11" s="13"/>
      <c r="X11" s="28"/>
      <c r="Y11" s="29"/>
      <c r="Z11" s="28"/>
      <c r="AA11" s="30"/>
      <c r="AB11" s="31"/>
      <c r="AC11" s="32"/>
      <c r="AD11" s="31"/>
      <c r="AE11" s="30"/>
      <c r="AF11" s="31"/>
      <c r="AG11" s="30"/>
      <c r="AH11" s="31"/>
      <c r="AI11" s="30"/>
      <c r="AJ11" s="31"/>
      <c r="AK11" s="31"/>
      <c r="AP11" s="17">
        <f>SUM(AP8:AP10)</f>
        <v>82.5</v>
      </c>
      <c r="AQ11" s="17">
        <f>SUM(AQ8:AQ10)</f>
        <v>267.36111111111109</v>
      </c>
      <c r="AR11" s="17">
        <f>SUM(AR8:AR10)</f>
        <v>5935.416666666667</v>
      </c>
      <c r="AS11" s="17">
        <f>AR11/AP8</f>
        <v>131.89814814814815</v>
      </c>
      <c r="AT11" s="17">
        <f>IF(AS11&gt;10000,AS11/10,IF(AND(AS11&gt;=100,AS11&lt;1000),AS11*10,IF(AS11&lt;100,AS11*100,AS11)))</f>
        <v>1318.9814814814815</v>
      </c>
      <c r="AU11" s="33">
        <f>ROUND(AT11,-2)</f>
        <v>1300</v>
      </c>
      <c r="AV11" s="9" t="s">
        <v>39</v>
      </c>
    </row>
    <row r="12" spans="1:48" ht="18" customHeight="1">
      <c r="A12" s="13">
        <v>12</v>
      </c>
      <c r="B12" s="89" t="s">
        <v>15</v>
      </c>
      <c r="C12" s="90" t="s">
        <v>19</v>
      </c>
      <c r="D12" s="19"/>
      <c r="E12" s="20">
        <f>-PV(G12,5,K12,100000)</f>
        <v>107985.42007415618</v>
      </c>
      <c r="F12" s="21"/>
      <c r="G12" s="22">
        <v>0.08</v>
      </c>
      <c r="H12" s="21"/>
      <c r="I12" s="85"/>
      <c r="J12" s="21"/>
      <c r="K12" s="23">
        <v>10000</v>
      </c>
      <c r="L12" s="21"/>
      <c r="M12" s="85"/>
      <c r="N12" s="21"/>
      <c r="O12" s="85"/>
      <c r="U12" s="8" t="str">
        <f>$AE$9</f>
        <v xml:space="preserve"> =E9*G9</v>
      </c>
      <c r="W12" s="13">
        <v>12</v>
      </c>
      <c r="X12" s="68" t="s">
        <v>15</v>
      </c>
      <c r="Y12" s="18" t="s">
        <v>19</v>
      </c>
      <c r="Z12" s="19"/>
      <c r="AA12" s="20">
        <f>-PV(AC12,5,AG12,100000)</f>
        <v>107985.42007415618</v>
      </c>
      <c r="AB12" s="21"/>
      <c r="AC12" s="22">
        <v>0.08</v>
      </c>
      <c r="AD12" s="21"/>
      <c r="AE12" s="24" t="s">
        <v>30</v>
      </c>
      <c r="AF12" s="21"/>
      <c r="AG12" s="23">
        <v>10000</v>
      </c>
      <c r="AH12" s="21"/>
      <c r="AI12" s="24" t="s">
        <v>33</v>
      </c>
      <c r="AJ12" s="21"/>
      <c r="AK12" s="24" t="s">
        <v>34</v>
      </c>
    </row>
    <row r="13" spans="1:48" ht="18" customHeight="1">
      <c r="A13" s="13">
        <v>13</v>
      </c>
      <c r="B13" s="89"/>
      <c r="C13" s="90" t="s">
        <v>20</v>
      </c>
      <c r="D13" s="19"/>
      <c r="E13" s="85"/>
      <c r="F13" s="21"/>
      <c r="G13" s="22">
        <v>0.08</v>
      </c>
      <c r="H13" s="21"/>
      <c r="I13" s="85"/>
      <c r="J13" s="21"/>
      <c r="K13" s="23">
        <v>10000</v>
      </c>
      <c r="L13" s="21"/>
      <c r="M13" s="85"/>
      <c r="N13" s="21"/>
      <c r="O13" s="85"/>
      <c r="U13" s="8" t="str">
        <f>$AK$9</f>
        <v xml:space="preserve"> =E9+M9</v>
      </c>
      <c r="W13" s="13">
        <v>13</v>
      </c>
      <c r="X13" s="68"/>
      <c r="Y13" s="18" t="s">
        <v>20</v>
      </c>
      <c r="Z13" s="19"/>
      <c r="AA13" s="24" t="s">
        <v>37</v>
      </c>
      <c r="AB13" s="21"/>
      <c r="AC13" s="22">
        <v>0.08</v>
      </c>
      <c r="AD13" s="21"/>
      <c r="AE13" s="24" t="s">
        <v>32</v>
      </c>
      <c r="AF13" s="21"/>
      <c r="AG13" s="23">
        <v>10000</v>
      </c>
      <c r="AH13" s="21"/>
      <c r="AI13" s="24" t="s">
        <v>36</v>
      </c>
      <c r="AJ13" s="21"/>
      <c r="AK13" s="24" t="s">
        <v>35</v>
      </c>
    </row>
    <row r="14" spans="1:48">
      <c r="U14" s="8" t="str">
        <f>$AI$10</f>
        <v xml:space="preserve"> =I10-K10</v>
      </c>
    </row>
    <row r="15" spans="1:48">
      <c r="U15" s="8" t="str">
        <f>$AI$9</f>
        <v xml:space="preserve"> =I9-K9</v>
      </c>
    </row>
    <row r="16" spans="1:48" ht="29.25" customHeight="1">
      <c r="A16" s="34"/>
      <c r="B16" s="66" t="str">
        <f>X16</f>
        <v>Due to a recent downturn in the housing market Enter Name Here Construction, LLC has need of external funding and issues the following bonds on January 1, 20X2 when the market rate is 9%:</v>
      </c>
      <c r="C16" s="66"/>
      <c r="D16" s="66"/>
      <c r="E16" s="66"/>
      <c r="F16" s="66"/>
      <c r="G16" s="66"/>
      <c r="H16" s="66"/>
      <c r="I16" s="66"/>
      <c r="J16" s="66"/>
      <c r="K16" s="66"/>
      <c r="L16" s="66"/>
      <c r="M16" s="66"/>
      <c r="N16" s="66"/>
      <c r="O16" s="66"/>
      <c r="U16" s="8" t="str">
        <f>$AI$12</f>
        <v xml:space="preserve"> =K12-I12</v>
      </c>
      <c r="W16" s="34"/>
      <c r="X16" s="66" t="str">
        <f>CONCATENATE("Due to a recent downturn in the housing market ", Identification!$B$1, " Construction, LLC has need of external funding and issues the following bonds on January 1, 20X2 when the market rate is ",TEXT(AO9,"#%"),":")</f>
        <v>Due to a recent downturn in the housing market Enter Name Here Construction, LLC has need of external funding and issues the following bonds on January 1, 20X2 when the market rate is 9%:</v>
      </c>
      <c r="Y16" s="66"/>
      <c r="Z16" s="66"/>
      <c r="AA16" s="66"/>
      <c r="AB16" s="66"/>
      <c r="AC16" s="66"/>
      <c r="AD16" s="66"/>
      <c r="AE16" s="66"/>
      <c r="AF16" s="66"/>
      <c r="AG16" s="66"/>
      <c r="AH16" s="66"/>
      <c r="AI16" s="66"/>
      <c r="AJ16" s="66"/>
      <c r="AK16" s="66"/>
    </row>
    <row r="17" spans="1:48" ht="18.75" customHeight="1">
      <c r="U17" s="35" t="str">
        <f>$AI$13</f>
        <v xml:space="preserve"> =K13-I13</v>
      </c>
      <c r="AV17" s="9"/>
    </row>
    <row r="18" spans="1:48" s="36" customFormat="1" ht="27.75" customHeight="1">
      <c r="D18" s="91"/>
      <c r="E18" s="92" t="s">
        <v>40</v>
      </c>
      <c r="F18" s="91"/>
      <c r="G18" s="92" t="s">
        <v>41</v>
      </c>
      <c r="H18" s="91"/>
      <c r="I18" s="92" t="s">
        <v>45</v>
      </c>
      <c r="J18" s="93"/>
      <c r="K18" s="92" t="s">
        <v>44</v>
      </c>
      <c r="L18" s="92"/>
      <c r="M18" s="92" t="s">
        <v>46</v>
      </c>
      <c r="N18" s="93"/>
      <c r="U18" s="8" t="str">
        <f>$AA$13</f>
        <v xml:space="preserve"> =O12</v>
      </c>
      <c r="Z18" s="37"/>
      <c r="AA18" s="38" t="s">
        <v>40</v>
      </c>
      <c r="AB18" s="37"/>
      <c r="AC18" s="38" t="s">
        <v>41</v>
      </c>
      <c r="AD18" s="37"/>
      <c r="AE18" s="38" t="s">
        <v>45</v>
      </c>
      <c r="AF18" s="39"/>
      <c r="AG18" s="38" t="s">
        <v>44</v>
      </c>
      <c r="AH18" s="38"/>
      <c r="AI18" s="38" t="s">
        <v>46</v>
      </c>
      <c r="AJ18" s="39"/>
      <c r="AV18" s="40"/>
    </row>
    <row r="19" spans="1:48" ht="43.5" customHeight="1">
      <c r="D19" s="99">
        <v>1</v>
      </c>
      <c r="E19" s="100">
        <f>AA19</f>
        <v>1300000</v>
      </c>
      <c r="F19" s="101"/>
      <c r="G19" s="102">
        <f>AC19</f>
        <v>0.09</v>
      </c>
      <c r="H19" s="101"/>
      <c r="I19" s="103">
        <f>AE19</f>
        <v>4</v>
      </c>
      <c r="J19" s="101"/>
      <c r="K19" s="104" t="str">
        <f>AG19</f>
        <v>Semi-Annual June 30 and Dec. 31</v>
      </c>
      <c r="L19" s="101"/>
      <c r="M19" s="100">
        <f>AI19</f>
        <v>1300000</v>
      </c>
      <c r="N19" s="101"/>
      <c r="U19" s="8" t="str">
        <f>$AA$10</f>
        <v xml:space="preserve"> =O9</v>
      </c>
      <c r="Z19" s="41">
        <v>1</v>
      </c>
      <c r="AA19" s="42">
        <f>AU11*1000</f>
        <v>1300000</v>
      </c>
      <c r="AB19" s="43"/>
      <c r="AC19" s="44">
        <f>AO9</f>
        <v>0.09</v>
      </c>
      <c r="AD19" s="43"/>
      <c r="AE19" s="45">
        <v>4</v>
      </c>
      <c r="AF19" s="43"/>
      <c r="AG19" s="46" t="s">
        <v>76</v>
      </c>
      <c r="AH19" s="43"/>
      <c r="AI19" s="47">
        <f>-PV(AO9/2,AE19*2,AA19*AC19/2,AA19)</f>
        <v>1300000</v>
      </c>
      <c r="AJ19" s="43"/>
    </row>
    <row r="20" spans="1:48" ht="30" customHeight="1">
      <c r="D20" s="99">
        <v>2</v>
      </c>
      <c r="E20" s="100">
        <f t="shared" ref="E20:E21" si="2">AA20</f>
        <v>1100000</v>
      </c>
      <c r="F20" s="101"/>
      <c r="G20" s="102">
        <f t="shared" ref="G20:G21" si="3">AC20</f>
        <v>6.9999999999999993E-2</v>
      </c>
      <c r="H20" s="101"/>
      <c r="I20" s="103">
        <f t="shared" ref="I20:I21" si="4">AE20</f>
        <v>5</v>
      </c>
      <c r="J20" s="101"/>
      <c r="K20" s="104" t="str">
        <f t="shared" ref="K20:K21" si="5">AG20</f>
        <v>Annual  on Dec. 31</v>
      </c>
      <c r="L20" s="101"/>
      <c r="M20" s="100">
        <f t="shared" ref="M20:M21" si="6">AI20</f>
        <v>1014427.6722062621</v>
      </c>
      <c r="N20" s="101"/>
      <c r="Z20" s="41">
        <v>2</v>
      </c>
      <c r="AA20" s="48">
        <f>AA19-200000</f>
        <v>1100000</v>
      </c>
      <c r="AB20" s="43"/>
      <c r="AC20" s="49">
        <f>AO9-0.02</f>
        <v>6.9999999999999993E-2</v>
      </c>
      <c r="AD20" s="43"/>
      <c r="AE20" s="45">
        <v>5</v>
      </c>
      <c r="AF20" s="43"/>
      <c r="AG20" s="46" t="s">
        <v>75</v>
      </c>
      <c r="AH20" s="43"/>
      <c r="AI20" s="47">
        <f>-PV($AO$9,AE20,AA20*AC20,AA20)</f>
        <v>1014427.6722062621</v>
      </c>
      <c r="AJ20" s="43"/>
    </row>
    <row r="21" spans="1:48" ht="30" customHeight="1">
      <c r="D21" s="99">
        <v>3</v>
      </c>
      <c r="E21" s="100">
        <f t="shared" si="2"/>
        <v>1500000</v>
      </c>
      <c r="F21" s="101"/>
      <c r="G21" s="102">
        <f t="shared" si="3"/>
        <v>0.11</v>
      </c>
      <c r="H21" s="101"/>
      <c r="I21" s="103">
        <f t="shared" si="4"/>
        <v>3</v>
      </c>
      <c r="J21" s="101"/>
      <c r="K21" s="104" t="str">
        <f t="shared" si="5"/>
        <v>Annual  on Dec. 31</v>
      </c>
      <c r="L21" s="101"/>
      <c r="M21" s="100">
        <f t="shared" si="6"/>
        <v>1575938.8399796453</v>
      </c>
      <c r="N21" s="101"/>
      <c r="Z21" s="41">
        <v>3</v>
      </c>
      <c r="AA21" s="48">
        <f>AA19+200000</f>
        <v>1500000</v>
      </c>
      <c r="AB21" s="43"/>
      <c r="AC21" s="49">
        <f>AO9+0.02</f>
        <v>0.11</v>
      </c>
      <c r="AD21" s="43"/>
      <c r="AE21" s="45">
        <v>3</v>
      </c>
      <c r="AF21" s="43"/>
      <c r="AG21" s="46" t="s">
        <v>75</v>
      </c>
      <c r="AH21" s="43"/>
      <c r="AI21" s="47">
        <f>-PV(AO9,AE21,AA21*AC21,AA21)</f>
        <v>1575938.8399796453</v>
      </c>
      <c r="AJ21" s="43"/>
    </row>
    <row r="22" spans="1:48" ht="29.25" customHeight="1"/>
    <row r="23" spans="1:48" ht="49.5" customHeight="1">
      <c r="A23" s="11" t="s">
        <v>38</v>
      </c>
      <c r="B23" s="63" t="str">
        <f>X23</f>
        <v>In Part B-1, below, prepare the indicated journal entries for the bonds issued at par.  In Part B-2, complete the requested amortization table for the bonds issued at a discount and prepare the requested entries.  Part B-3 is the same requirements applied to the bonds issued at a premium.  Round all numbers to the nearest whole number for ease of record keeping.</v>
      </c>
      <c r="C23" s="63"/>
      <c r="D23" s="63"/>
      <c r="E23" s="63"/>
      <c r="F23" s="63"/>
      <c r="G23" s="63"/>
      <c r="H23" s="63"/>
      <c r="I23" s="63"/>
      <c r="J23" s="63"/>
      <c r="K23" s="63"/>
      <c r="L23" s="63"/>
      <c r="M23" s="63"/>
      <c r="N23" s="63"/>
      <c r="O23" s="63"/>
      <c r="W23" s="34" t="s">
        <v>38</v>
      </c>
      <c r="X23" s="63" t="s">
        <v>78</v>
      </c>
      <c r="Y23" s="63"/>
      <c r="Z23" s="63"/>
      <c r="AA23" s="63"/>
      <c r="AB23" s="63"/>
      <c r="AC23" s="63"/>
      <c r="AD23" s="63"/>
      <c r="AE23" s="63"/>
      <c r="AF23" s="63"/>
      <c r="AG23" s="63"/>
      <c r="AH23" s="63"/>
      <c r="AI23" s="63"/>
      <c r="AJ23" s="63"/>
      <c r="AK23" s="63"/>
    </row>
    <row r="24" spans="1:48" ht="27" customHeight="1">
      <c r="A24" s="34"/>
      <c r="B24" s="50"/>
      <c r="C24" s="50"/>
      <c r="D24" s="50"/>
      <c r="E24" s="50"/>
      <c r="F24" s="50"/>
      <c r="G24" s="50"/>
      <c r="H24" s="50"/>
      <c r="I24" s="50"/>
      <c r="J24" s="50"/>
      <c r="K24" s="50"/>
      <c r="L24" s="50"/>
      <c r="M24" s="50"/>
      <c r="N24" s="50"/>
      <c r="O24" s="50"/>
      <c r="U24" s="8" t="str">
        <f>$Z$28</f>
        <v>Bond Payable</v>
      </c>
      <c r="W24" s="34"/>
      <c r="X24" s="50"/>
      <c r="Y24" s="50"/>
      <c r="Z24" s="50"/>
      <c r="AA24" s="50"/>
      <c r="AB24" s="50"/>
      <c r="AC24" s="50"/>
      <c r="AD24" s="50"/>
      <c r="AE24" s="50"/>
      <c r="AF24" s="50"/>
      <c r="AG24" s="50"/>
      <c r="AH24" s="50"/>
      <c r="AI24" s="50"/>
      <c r="AJ24" s="50"/>
      <c r="AK24" s="50"/>
    </row>
    <row r="25" spans="1:48" ht="13.5" customHeight="1">
      <c r="A25" s="34"/>
      <c r="B25" s="50"/>
      <c r="C25" s="50"/>
      <c r="D25" s="50"/>
      <c r="E25" s="50"/>
      <c r="F25" s="50"/>
      <c r="G25" s="50"/>
      <c r="H25" s="50"/>
      <c r="I25" s="50"/>
      <c r="J25" s="50"/>
      <c r="K25" s="50"/>
      <c r="L25" s="50"/>
      <c r="M25" s="50"/>
      <c r="N25" s="50"/>
      <c r="O25" s="50"/>
      <c r="U25" s="8" t="str">
        <f>$Z$27</f>
        <v>Cash</v>
      </c>
      <c r="W25" s="34"/>
      <c r="X25" s="50"/>
      <c r="Y25" s="50"/>
      <c r="Z25" s="50"/>
      <c r="AA25" s="50"/>
      <c r="AB25" s="50"/>
      <c r="AC25" s="50"/>
      <c r="AD25" s="50"/>
      <c r="AE25" s="50"/>
      <c r="AF25" s="50"/>
      <c r="AG25" s="50"/>
      <c r="AH25" s="50"/>
      <c r="AI25" s="50"/>
      <c r="AJ25" s="50"/>
      <c r="AK25" s="50"/>
    </row>
    <row r="26" spans="1:48" ht="18" customHeight="1">
      <c r="A26" s="34" t="s">
        <v>77</v>
      </c>
      <c r="B26" s="94" t="s">
        <v>18</v>
      </c>
      <c r="C26" s="95"/>
      <c r="D26" s="96" t="s">
        <v>54</v>
      </c>
      <c r="E26" s="97"/>
      <c r="F26" s="97"/>
      <c r="G26" s="97"/>
      <c r="H26" s="98"/>
      <c r="I26" s="96" t="s">
        <v>52</v>
      </c>
      <c r="J26" s="98"/>
      <c r="K26" s="96" t="s">
        <v>53</v>
      </c>
      <c r="L26" s="98"/>
      <c r="U26" s="8" t="str">
        <f>$Z$56</f>
        <v>Discount on Bond Payable</v>
      </c>
      <c r="W26" s="34" t="s">
        <v>59</v>
      </c>
      <c r="X26" s="51" t="s">
        <v>18</v>
      </c>
      <c r="Y26" s="52"/>
      <c r="Z26" s="69" t="s">
        <v>54</v>
      </c>
      <c r="AA26" s="70"/>
      <c r="AB26" s="70"/>
      <c r="AC26" s="70"/>
      <c r="AD26" s="71"/>
      <c r="AE26" s="69" t="s">
        <v>52</v>
      </c>
      <c r="AF26" s="71"/>
      <c r="AG26" s="69" t="s">
        <v>53</v>
      </c>
      <c r="AH26" s="71"/>
    </row>
    <row r="27" spans="1:48" s="109" customFormat="1" ht="21" customHeight="1">
      <c r="A27" s="11"/>
      <c r="B27" s="40" t="s">
        <v>58</v>
      </c>
      <c r="D27" s="110"/>
      <c r="E27" s="111"/>
      <c r="F27" s="111"/>
      <c r="G27" s="111"/>
      <c r="H27" s="111"/>
      <c r="I27" s="112"/>
      <c r="J27" s="112"/>
      <c r="K27" s="113"/>
      <c r="L27" s="113"/>
      <c r="M27" s="114"/>
      <c r="N27" s="114"/>
      <c r="O27" s="114"/>
      <c r="U27" s="35" t="str">
        <f>$Z$33</f>
        <v>Interest Expense</v>
      </c>
      <c r="W27" s="11"/>
      <c r="X27" s="40" t="s">
        <v>58</v>
      </c>
      <c r="Z27" s="115" t="s">
        <v>55</v>
      </c>
      <c r="AA27" s="116"/>
      <c r="AB27" s="116"/>
      <c r="AC27" s="116"/>
      <c r="AD27" s="116"/>
      <c r="AE27" s="117">
        <f>AA19</f>
        <v>1300000</v>
      </c>
      <c r="AF27" s="117"/>
      <c r="AG27" s="113"/>
      <c r="AH27" s="113"/>
      <c r="AI27" s="114"/>
      <c r="AJ27" s="114"/>
      <c r="AK27" s="114"/>
    </row>
    <row r="28" spans="1:48" s="109" customFormat="1" ht="21" customHeight="1">
      <c r="A28" s="11"/>
      <c r="B28" s="40"/>
      <c r="D28" s="122"/>
      <c r="E28" s="122"/>
      <c r="F28" s="122"/>
      <c r="G28" s="122"/>
      <c r="H28" s="122"/>
      <c r="I28" s="119"/>
      <c r="J28" s="119"/>
      <c r="K28" s="112"/>
      <c r="L28" s="112"/>
      <c r="M28" s="114"/>
      <c r="N28" s="114"/>
      <c r="O28" s="114"/>
      <c r="U28" s="35" t="str">
        <f>$Z$101</f>
        <v>Interest Payable</v>
      </c>
      <c r="W28" s="11"/>
      <c r="X28" s="40"/>
      <c r="Z28" s="120" t="s">
        <v>56</v>
      </c>
      <c r="AA28" s="121"/>
      <c r="AB28" s="121"/>
      <c r="AC28" s="121"/>
      <c r="AD28" s="121"/>
      <c r="AE28" s="119"/>
      <c r="AF28" s="119"/>
      <c r="AG28" s="117">
        <f>AA19</f>
        <v>1300000</v>
      </c>
      <c r="AH28" s="117"/>
      <c r="AI28" s="114"/>
      <c r="AJ28" s="114"/>
      <c r="AK28" s="114"/>
    </row>
    <row r="29" spans="1:48" ht="13.5" customHeight="1" thickBot="1">
      <c r="A29" s="34"/>
      <c r="M29" s="50"/>
      <c r="N29" s="50"/>
      <c r="O29" s="50"/>
      <c r="U29" s="8" t="str">
        <f>$Z$77</f>
        <v>Premium on Bond Payable</v>
      </c>
      <c r="W29" s="34"/>
      <c r="AI29" s="50"/>
      <c r="AJ29" s="50"/>
      <c r="AK29" s="50"/>
    </row>
    <row r="30" spans="1:48" ht="13.5" customHeight="1" thickBot="1">
      <c r="A30" s="34"/>
      <c r="C30" s="82" t="str">
        <f>Y30</f>
        <v>To record issuance of 9%, $1,300,000 bond due in four years</v>
      </c>
      <c r="D30" s="80"/>
      <c r="E30" s="80"/>
      <c r="F30" s="80"/>
      <c r="G30" s="80"/>
      <c r="H30" s="80"/>
      <c r="I30" s="80"/>
      <c r="J30" s="80"/>
      <c r="K30" s="80"/>
      <c r="L30" s="81"/>
      <c r="M30" s="50"/>
      <c r="N30" s="50"/>
      <c r="O30" s="50"/>
      <c r="W30" s="34"/>
      <c r="Y30" s="82" t="str">
        <f>CONCATENATE("To record issuance of ",TEXT(AC19,"#%"),", ",TEXT(AA19,"$#,##0")," bond due in four years")</f>
        <v>To record issuance of 9%, $1,300,000 bond due in four years</v>
      </c>
      <c r="Z30" s="80"/>
      <c r="AA30" s="80"/>
      <c r="AB30" s="80"/>
      <c r="AC30" s="80"/>
      <c r="AD30" s="80"/>
      <c r="AE30" s="80"/>
      <c r="AF30" s="80"/>
      <c r="AG30" s="80"/>
      <c r="AH30" s="81"/>
      <c r="AI30" s="50"/>
      <c r="AJ30" s="50"/>
      <c r="AK30" s="50"/>
    </row>
    <row r="31" spans="1:48" ht="13.5" customHeight="1">
      <c r="A31" s="34"/>
      <c r="M31" s="50"/>
      <c r="N31" s="50"/>
      <c r="O31" s="50"/>
      <c r="W31" s="34"/>
      <c r="AI31" s="50"/>
      <c r="AJ31" s="50"/>
      <c r="AK31" s="50"/>
    </row>
    <row r="32" spans="1:48" ht="18" customHeight="1">
      <c r="B32" s="94" t="s">
        <v>18</v>
      </c>
      <c r="C32" s="95"/>
      <c r="D32" s="96" t="s">
        <v>54</v>
      </c>
      <c r="E32" s="97"/>
      <c r="F32" s="97"/>
      <c r="G32" s="97"/>
      <c r="H32" s="98"/>
      <c r="I32" s="96" t="s">
        <v>52</v>
      </c>
      <c r="J32" s="98"/>
      <c r="K32" s="96" t="s">
        <v>53</v>
      </c>
      <c r="L32" s="98"/>
      <c r="U32" s="54">
        <f>$AG$63</f>
        <v>14298.490498563609</v>
      </c>
      <c r="X32" s="51" t="s">
        <v>18</v>
      </c>
      <c r="Y32" s="52"/>
      <c r="Z32" s="69" t="s">
        <v>54</v>
      </c>
      <c r="AA32" s="70"/>
      <c r="AB32" s="70"/>
      <c r="AC32" s="70"/>
      <c r="AD32" s="71"/>
      <c r="AE32" s="69" t="s">
        <v>52</v>
      </c>
      <c r="AF32" s="71"/>
      <c r="AG32" s="69" t="s">
        <v>53</v>
      </c>
      <c r="AH32" s="71"/>
    </row>
    <row r="33" spans="1:37" s="109" customFormat="1" ht="21" customHeight="1">
      <c r="A33" s="11"/>
      <c r="B33" s="40" t="s">
        <v>60</v>
      </c>
      <c r="D33" s="110"/>
      <c r="E33" s="111"/>
      <c r="F33" s="111"/>
      <c r="G33" s="111"/>
      <c r="H33" s="111"/>
      <c r="I33" s="112"/>
      <c r="J33" s="112"/>
      <c r="K33" s="113"/>
      <c r="L33" s="113"/>
      <c r="M33" s="114"/>
      <c r="N33" s="114"/>
      <c r="O33" s="114"/>
      <c r="U33" s="123">
        <f>$AG$101</f>
        <v>22500</v>
      </c>
      <c r="W33" s="11"/>
      <c r="X33" s="40" t="s">
        <v>60</v>
      </c>
      <c r="Z33" s="115" t="s">
        <v>7</v>
      </c>
      <c r="AA33" s="116"/>
      <c r="AB33" s="116"/>
      <c r="AC33" s="116"/>
      <c r="AD33" s="116"/>
      <c r="AE33" s="117">
        <f>AA19*AC19*0.5</f>
        <v>58500</v>
      </c>
      <c r="AF33" s="117"/>
      <c r="AG33" s="113"/>
      <c r="AH33" s="113"/>
      <c r="AI33" s="114"/>
      <c r="AJ33" s="114"/>
      <c r="AK33" s="114"/>
    </row>
    <row r="34" spans="1:37" s="109" customFormat="1" ht="21" customHeight="1">
      <c r="A34" s="11"/>
      <c r="B34" s="40"/>
      <c r="D34" s="122"/>
      <c r="E34" s="122"/>
      <c r="F34" s="122"/>
      <c r="G34" s="122"/>
      <c r="H34" s="122"/>
      <c r="I34" s="119"/>
      <c r="J34" s="119"/>
      <c r="K34" s="112"/>
      <c r="L34" s="112"/>
      <c r="M34" s="114"/>
      <c r="N34" s="114"/>
      <c r="O34" s="114"/>
      <c r="U34" s="123">
        <f>$AE$84</f>
        <v>23165.504401831917</v>
      </c>
      <c r="W34" s="11"/>
      <c r="X34" s="40"/>
      <c r="Z34" s="120" t="s">
        <v>55</v>
      </c>
      <c r="AA34" s="121"/>
      <c r="AB34" s="121"/>
      <c r="AC34" s="121"/>
      <c r="AD34" s="121"/>
      <c r="AE34" s="119"/>
      <c r="AF34" s="119"/>
      <c r="AG34" s="117">
        <f>AE33</f>
        <v>58500</v>
      </c>
      <c r="AH34" s="117"/>
      <c r="AI34" s="114"/>
      <c r="AJ34" s="114"/>
      <c r="AK34" s="114"/>
    </row>
    <row r="35" spans="1:37" ht="13.5" customHeight="1" thickBot="1">
      <c r="A35" s="34"/>
      <c r="M35" s="50"/>
      <c r="N35" s="50"/>
      <c r="O35" s="50"/>
      <c r="U35" s="54">
        <f>$AG$109</f>
        <v>45000</v>
      </c>
      <c r="W35" s="34"/>
      <c r="AI35" s="50"/>
      <c r="AJ35" s="50"/>
      <c r="AK35" s="50"/>
    </row>
    <row r="36" spans="1:37" ht="13.5" customHeight="1" thickBot="1">
      <c r="A36" s="34"/>
      <c r="C36" s="79" t="str">
        <f>Y36</f>
        <v>To record interest payment</v>
      </c>
      <c r="D36" s="80"/>
      <c r="E36" s="80"/>
      <c r="F36" s="80"/>
      <c r="G36" s="80"/>
      <c r="H36" s="80"/>
      <c r="I36" s="80"/>
      <c r="J36" s="80"/>
      <c r="K36" s="80"/>
      <c r="L36" s="81"/>
      <c r="M36" s="50"/>
      <c r="N36" s="50"/>
      <c r="O36" s="50"/>
      <c r="U36" s="54">
        <f>$AE$33</f>
        <v>58500</v>
      </c>
      <c r="W36" s="34"/>
      <c r="Y36" s="79" t="s">
        <v>61</v>
      </c>
      <c r="Z36" s="80"/>
      <c r="AA36" s="80"/>
      <c r="AB36" s="80"/>
      <c r="AC36" s="80"/>
      <c r="AD36" s="80"/>
      <c r="AE36" s="80"/>
      <c r="AF36" s="80"/>
      <c r="AG36" s="80"/>
      <c r="AH36" s="81"/>
      <c r="AI36" s="50"/>
      <c r="AJ36" s="50"/>
      <c r="AK36" s="50"/>
    </row>
    <row r="37" spans="1:37" ht="13.5" customHeight="1">
      <c r="A37" s="34"/>
      <c r="M37" s="50"/>
      <c r="N37" s="50"/>
      <c r="O37" s="50"/>
      <c r="U37" s="54">
        <f>$AG$77</f>
        <v>75938.83997964533</v>
      </c>
      <c r="W37" s="34"/>
      <c r="AI37" s="50"/>
      <c r="AJ37" s="50"/>
      <c r="AK37" s="50"/>
    </row>
    <row r="38" spans="1:37" ht="18" customHeight="1">
      <c r="B38" s="94" t="s">
        <v>18</v>
      </c>
      <c r="C38" s="95"/>
      <c r="D38" s="96" t="s">
        <v>54</v>
      </c>
      <c r="E38" s="97"/>
      <c r="F38" s="97"/>
      <c r="G38" s="97"/>
      <c r="H38" s="98"/>
      <c r="I38" s="96" t="s">
        <v>52</v>
      </c>
      <c r="J38" s="98"/>
      <c r="K38" s="96" t="s">
        <v>53</v>
      </c>
      <c r="L38" s="98"/>
      <c r="U38" s="54">
        <f>$AG$64</f>
        <v>76999.999999999985</v>
      </c>
      <c r="X38" s="51" t="s">
        <v>18</v>
      </c>
      <c r="Y38" s="52"/>
      <c r="Z38" s="69" t="s">
        <v>54</v>
      </c>
      <c r="AA38" s="70"/>
      <c r="AB38" s="70"/>
      <c r="AC38" s="70"/>
      <c r="AD38" s="71"/>
      <c r="AE38" s="69" t="s">
        <v>52</v>
      </c>
      <c r="AF38" s="71"/>
      <c r="AG38" s="69" t="s">
        <v>53</v>
      </c>
      <c r="AH38" s="71"/>
    </row>
    <row r="39" spans="1:37" s="109" customFormat="1" ht="21" customHeight="1">
      <c r="A39" s="11"/>
      <c r="B39" s="40" t="s">
        <v>20</v>
      </c>
      <c r="D39" s="110"/>
      <c r="E39" s="111"/>
      <c r="F39" s="111"/>
      <c r="G39" s="111"/>
      <c r="H39" s="111"/>
      <c r="I39" s="112"/>
      <c r="J39" s="112"/>
      <c r="K39" s="113"/>
      <c r="L39" s="113"/>
      <c r="M39" s="114"/>
      <c r="N39" s="114"/>
      <c r="O39" s="114"/>
      <c r="U39" s="123">
        <f>$AE$56</f>
        <v>85572.327793737873</v>
      </c>
      <c r="W39" s="11"/>
      <c r="X39" s="40" t="s">
        <v>20</v>
      </c>
      <c r="Z39" s="115" t="s">
        <v>7</v>
      </c>
      <c r="AA39" s="116"/>
      <c r="AB39" s="116"/>
      <c r="AC39" s="116"/>
      <c r="AD39" s="116"/>
      <c r="AE39" s="117">
        <f>AA19*AC19*0.5</f>
        <v>58500</v>
      </c>
      <c r="AF39" s="117"/>
      <c r="AG39" s="113"/>
      <c r="AH39" s="113"/>
      <c r="AI39" s="114"/>
      <c r="AJ39" s="114"/>
      <c r="AK39" s="114"/>
    </row>
    <row r="40" spans="1:37" s="109" customFormat="1" ht="21" customHeight="1">
      <c r="A40" s="11"/>
      <c r="B40" s="40"/>
      <c r="D40" s="122"/>
      <c r="E40" s="122"/>
      <c r="F40" s="122"/>
      <c r="G40" s="122"/>
      <c r="H40" s="122"/>
      <c r="I40" s="119"/>
      <c r="J40" s="119"/>
      <c r="K40" s="112"/>
      <c r="L40" s="112"/>
      <c r="M40" s="114"/>
      <c r="N40" s="114"/>
      <c r="O40" s="114"/>
      <c r="U40" s="123">
        <f>$AE$62</f>
        <v>91298.490498563595</v>
      </c>
      <c r="W40" s="11"/>
      <c r="X40" s="40"/>
      <c r="Z40" s="120" t="s">
        <v>55</v>
      </c>
      <c r="AA40" s="121"/>
      <c r="AB40" s="121"/>
      <c r="AC40" s="121"/>
      <c r="AD40" s="121"/>
      <c r="AE40" s="119"/>
      <c r="AF40" s="119"/>
      <c r="AG40" s="117">
        <f>AE39</f>
        <v>58500</v>
      </c>
      <c r="AH40" s="117"/>
      <c r="AI40" s="114"/>
      <c r="AJ40" s="114"/>
      <c r="AK40" s="114"/>
    </row>
    <row r="41" spans="1:37" ht="13.5" customHeight="1" thickBot="1">
      <c r="A41" s="34"/>
      <c r="M41" s="50"/>
      <c r="N41" s="50"/>
      <c r="O41" s="50"/>
      <c r="U41" s="54">
        <f>$AE$83</f>
        <v>141834.49559816808</v>
      </c>
      <c r="W41" s="34"/>
      <c r="AI41" s="50"/>
      <c r="AJ41" s="50"/>
      <c r="AK41" s="50"/>
    </row>
    <row r="42" spans="1:37" ht="13.5" customHeight="1" thickBot="1">
      <c r="A42" s="34"/>
      <c r="C42" s="79" t="str">
        <f>Y42</f>
        <v>To record interest payment</v>
      </c>
      <c r="D42" s="80"/>
      <c r="E42" s="80"/>
      <c r="F42" s="80"/>
      <c r="G42" s="80"/>
      <c r="H42" s="80"/>
      <c r="I42" s="80"/>
      <c r="J42" s="80"/>
      <c r="K42" s="80"/>
      <c r="L42" s="81"/>
      <c r="M42" s="50"/>
      <c r="N42" s="50"/>
      <c r="O42" s="50"/>
      <c r="U42" s="54">
        <f>$AG$85</f>
        <v>165000</v>
      </c>
      <c r="W42" s="34"/>
      <c r="Y42" s="79" t="s">
        <v>61</v>
      </c>
      <c r="Z42" s="80"/>
      <c r="AA42" s="80"/>
      <c r="AB42" s="80"/>
      <c r="AC42" s="80"/>
      <c r="AD42" s="80"/>
      <c r="AE42" s="80"/>
      <c r="AF42" s="80"/>
      <c r="AG42" s="80"/>
      <c r="AH42" s="81"/>
      <c r="AI42" s="50"/>
      <c r="AJ42" s="50"/>
      <c r="AK42" s="50"/>
    </row>
    <row r="43" spans="1:37" ht="13.5" customHeight="1">
      <c r="A43" s="34"/>
      <c r="B43" s="50"/>
      <c r="C43" s="50"/>
      <c r="D43" s="50"/>
      <c r="E43" s="50"/>
      <c r="F43" s="50"/>
      <c r="G43" s="50"/>
      <c r="H43" s="50"/>
      <c r="I43" s="50"/>
      <c r="J43" s="50"/>
      <c r="K43" s="50"/>
      <c r="L43" s="50"/>
      <c r="M43" s="50"/>
      <c r="N43" s="50"/>
      <c r="O43" s="50"/>
      <c r="U43" s="54">
        <f>$AG$102</f>
        <v>1000000</v>
      </c>
      <c r="W43" s="34"/>
      <c r="X43" s="50"/>
      <c r="Y43" s="50"/>
      <c r="Z43" s="50"/>
      <c r="AA43" s="50"/>
      <c r="AB43" s="50"/>
      <c r="AC43" s="50"/>
      <c r="AD43" s="50"/>
      <c r="AE43" s="50"/>
      <c r="AF43" s="50"/>
      <c r="AG43" s="50"/>
      <c r="AH43" s="50"/>
      <c r="AI43" s="50"/>
      <c r="AJ43" s="50"/>
      <c r="AK43" s="50"/>
    </row>
    <row r="44" spans="1:37" ht="13.5" customHeight="1">
      <c r="A44" s="34"/>
      <c r="B44" s="50"/>
      <c r="C44" s="50"/>
      <c r="D44" s="50"/>
      <c r="E44" s="50"/>
      <c r="F44" s="50"/>
      <c r="G44" s="50"/>
      <c r="H44" s="50"/>
      <c r="I44" s="50"/>
      <c r="J44" s="50"/>
      <c r="K44" s="50"/>
      <c r="L44" s="50"/>
      <c r="M44" s="50"/>
      <c r="N44" s="50"/>
      <c r="O44" s="50"/>
      <c r="U44" s="54">
        <f>$AE$55</f>
        <v>1014427.6722062621</v>
      </c>
      <c r="W44" s="34"/>
      <c r="X44" s="50"/>
      <c r="Y44" s="50"/>
      <c r="Z44" s="50"/>
      <c r="AA44" s="50"/>
      <c r="AB44" s="50"/>
      <c r="AC44" s="50"/>
      <c r="AD44" s="50"/>
      <c r="AE44" s="50"/>
      <c r="AF44" s="50"/>
      <c r="AG44" s="50"/>
      <c r="AH44" s="50"/>
      <c r="AI44" s="50"/>
      <c r="AJ44" s="50"/>
      <c r="AK44" s="50"/>
    </row>
    <row r="45" spans="1:37">
      <c r="U45" s="54">
        <f>$AE$100</f>
        <v>1022500</v>
      </c>
    </row>
    <row r="46" spans="1:37" ht="38.25">
      <c r="A46" s="34" t="s">
        <v>62</v>
      </c>
      <c r="B46" s="86" t="s">
        <v>40</v>
      </c>
      <c r="C46" s="86"/>
      <c r="D46" s="86"/>
      <c r="E46" s="86" t="s">
        <v>6</v>
      </c>
      <c r="F46" s="87"/>
      <c r="G46" s="86" t="s">
        <v>23</v>
      </c>
      <c r="H46" s="87"/>
      <c r="I46" s="86" t="s">
        <v>7</v>
      </c>
      <c r="J46" s="88"/>
      <c r="K46" s="86" t="s">
        <v>8</v>
      </c>
      <c r="L46" s="86"/>
      <c r="M46" s="86" t="s">
        <v>9</v>
      </c>
      <c r="N46" s="88"/>
      <c r="O46" s="86" t="s">
        <v>10</v>
      </c>
      <c r="U46" s="54">
        <f>$AG$57</f>
        <v>1100000</v>
      </c>
      <c r="W46" s="34" t="s">
        <v>62</v>
      </c>
      <c r="X46" s="14" t="s">
        <v>40</v>
      </c>
      <c r="Y46" s="14"/>
      <c r="Z46" s="14"/>
      <c r="AA46" s="14" t="s">
        <v>6</v>
      </c>
      <c r="AB46" s="15"/>
      <c r="AC46" s="14" t="s">
        <v>23</v>
      </c>
      <c r="AD46" s="15"/>
      <c r="AE46" s="14" t="s">
        <v>7</v>
      </c>
      <c r="AF46" s="16"/>
      <c r="AG46" s="14" t="s">
        <v>8</v>
      </c>
      <c r="AH46" s="14"/>
      <c r="AI46" s="14" t="s">
        <v>9</v>
      </c>
      <c r="AJ46" s="16"/>
      <c r="AK46" s="14" t="s">
        <v>10</v>
      </c>
    </row>
    <row r="47" spans="1:37" ht="18" customHeight="1">
      <c r="B47" s="124">
        <f>E20</f>
        <v>1100000</v>
      </c>
      <c r="C47" s="90" t="s">
        <v>20</v>
      </c>
      <c r="D47" s="19"/>
      <c r="E47" s="126"/>
      <c r="F47" s="21"/>
      <c r="G47" s="44">
        <f>$AO$9</f>
        <v>0.09</v>
      </c>
      <c r="H47" s="21"/>
      <c r="I47" s="126"/>
      <c r="J47" s="21"/>
      <c r="K47" s="126"/>
      <c r="L47" s="21"/>
      <c r="M47" s="126"/>
      <c r="N47" s="21"/>
      <c r="O47" s="126"/>
      <c r="U47" s="54">
        <f>$AE$27</f>
        <v>1300000</v>
      </c>
      <c r="X47" s="64">
        <f>AA20</f>
        <v>1100000</v>
      </c>
      <c r="Y47" s="18" t="s">
        <v>20</v>
      </c>
      <c r="Z47" s="19"/>
      <c r="AA47" s="20">
        <f>AI20</f>
        <v>1014427.6722062621</v>
      </c>
      <c r="AB47" s="21"/>
      <c r="AC47" s="22">
        <f>$AO$9</f>
        <v>0.09</v>
      </c>
      <c r="AD47" s="21"/>
      <c r="AE47" s="55">
        <f>AA47*AC47</f>
        <v>91298.490498563595</v>
      </c>
      <c r="AF47" s="21"/>
      <c r="AG47" s="23">
        <f>$X$47*$AC$20</f>
        <v>76999.999999999985</v>
      </c>
      <c r="AH47" s="21"/>
      <c r="AI47" s="55">
        <f>AE47-AG47</f>
        <v>14298.490498563609</v>
      </c>
      <c r="AJ47" s="21"/>
      <c r="AK47" s="55">
        <f>AA47+AI47</f>
        <v>1028726.1627048258</v>
      </c>
    </row>
    <row r="48" spans="1:37" ht="18" customHeight="1">
      <c r="B48" s="125"/>
      <c r="C48" s="90" t="s">
        <v>48</v>
      </c>
      <c r="D48" s="19"/>
      <c r="E48" s="58">
        <f>O47</f>
        <v>0</v>
      </c>
      <c r="F48" s="59"/>
      <c r="G48" s="60">
        <f>$AO$9</f>
        <v>0.09</v>
      </c>
      <c r="H48" s="59"/>
      <c r="I48" s="58">
        <f>E48*G48</f>
        <v>0</v>
      </c>
      <c r="J48" s="59"/>
      <c r="K48" s="61">
        <f>$K$47</f>
        <v>0</v>
      </c>
      <c r="L48" s="59"/>
      <c r="M48" s="58">
        <f>I48-K48</f>
        <v>0</v>
      </c>
      <c r="N48" s="59"/>
      <c r="O48" s="58">
        <f>E48+M48</f>
        <v>0</v>
      </c>
      <c r="U48" s="54">
        <f>$AG$78</f>
        <v>1500000</v>
      </c>
      <c r="X48" s="65"/>
      <c r="Y48" s="18" t="s">
        <v>48</v>
      </c>
      <c r="Z48" s="19"/>
      <c r="AA48" s="55">
        <f>AK47</f>
        <v>1028726.1627048258</v>
      </c>
      <c r="AB48" s="21"/>
      <c r="AC48" s="22">
        <f>$AO$9</f>
        <v>0.09</v>
      </c>
      <c r="AD48" s="21"/>
      <c r="AE48" s="55">
        <f t="shared" ref="AE48:AE51" si="7">AA48*AC48</f>
        <v>92585.354643434315</v>
      </c>
      <c r="AF48" s="21"/>
      <c r="AG48" s="23">
        <f>$X$47*$AC$20</f>
        <v>76999.999999999985</v>
      </c>
      <c r="AH48" s="21"/>
      <c r="AI48" s="55">
        <f t="shared" ref="AI48:AI51" si="8">AE48-AG48</f>
        <v>15585.35464343433</v>
      </c>
      <c r="AJ48" s="21"/>
      <c r="AK48" s="55">
        <f t="shared" ref="AK48:AK50" si="9">AA48+AI48</f>
        <v>1044311.51734826</v>
      </c>
    </row>
    <row r="49" spans="2:40" ht="18" customHeight="1">
      <c r="C49" s="90" t="s">
        <v>49</v>
      </c>
      <c r="D49" s="19"/>
      <c r="E49" s="58">
        <f t="shared" ref="E49:E51" si="10">O48</f>
        <v>0</v>
      </c>
      <c r="F49" s="59"/>
      <c r="G49" s="60">
        <f>$AO$9</f>
        <v>0.09</v>
      </c>
      <c r="H49" s="59"/>
      <c r="I49" s="58">
        <f t="shared" ref="I49:I51" si="11">E49*G49</f>
        <v>0</v>
      </c>
      <c r="J49" s="59"/>
      <c r="K49" s="61">
        <f t="shared" ref="K49:K51" si="12">$K$47</f>
        <v>0</v>
      </c>
      <c r="L49" s="59"/>
      <c r="M49" s="58">
        <f t="shared" ref="M49:M51" si="13">I49-K49</f>
        <v>0</v>
      </c>
      <c r="N49" s="59"/>
      <c r="O49" s="58">
        <f t="shared" ref="O49:O50" si="14">E49+M49</f>
        <v>0</v>
      </c>
      <c r="U49" s="54">
        <f>$AE$76</f>
        <v>1575938.8399796453</v>
      </c>
      <c r="Y49" s="18" t="s">
        <v>49</v>
      </c>
      <c r="Z49" s="19"/>
      <c r="AA49" s="55">
        <f t="shared" ref="AA49:AA51" si="15">AK48</f>
        <v>1044311.51734826</v>
      </c>
      <c r="AB49" s="21"/>
      <c r="AC49" s="22">
        <f>$AO$9</f>
        <v>0.09</v>
      </c>
      <c r="AD49" s="21"/>
      <c r="AE49" s="55">
        <f t="shared" si="7"/>
        <v>93988.036561343397</v>
      </c>
      <c r="AF49" s="21"/>
      <c r="AG49" s="23">
        <f>$X$47*$AC$20</f>
        <v>76999.999999999985</v>
      </c>
      <c r="AH49" s="21"/>
      <c r="AI49" s="55">
        <f t="shared" si="8"/>
        <v>16988.036561343411</v>
      </c>
      <c r="AJ49" s="21"/>
      <c r="AK49" s="55">
        <f t="shared" si="9"/>
        <v>1061299.5539096035</v>
      </c>
    </row>
    <row r="50" spans="2:40" ht="18" customHeight="1">
      <c r="C50" s="90" t="s">
        <v>50</v>
      </c>
      <c r="D50" s="19"/>
      <c r="E50" s="58">
        <f t="shared" si="10"/>
        <v>0</v>
      </c>
      <c r="F50" s="59"/>
      <c r="G50" s="60">
        <f>$AO$9</f>
        <v>0.09</v>
      </c>
      <c r="H50" s="59"/>
      <c r="I50" s="58">
        <f t="shared" si="11"/>
        <v>0</v>
      </c>
      <c r="J50" s="59"/>
      <c r="K50" s="61">
        <f t="shared" si="12"/>
        <v>0</v>
      </c>
      <c r="L50" s="59"/>
      <c r="M50" s="58">
        <f t="shared" si="13"/>
        <v>0</v>
      </c>
      <c r="N50" s="59"/>
      <c r="O50" s="58">
        <f t="shared" si="14"/>
        <v>0</v>
      </c>
      <c r="Y50" s="18" t="s">
        <v>50</v>
      </c>
      <c r="Z50" s="19"/>
      <c r="AA50" s="55">
        <f t="shared" si="15"/>
        <v>1061299.5539096035</v>
      </c>
      <c r="AB50" s="21"/>
      <c r="AC50" s="22">
        <f>$AO$9</f>
        <v>0.09</v>
      </c>
      <c r="AD50" s="21"/>
      <c r="AE50" s="55">
        <f t="shared" si="7"/>
        <v>95516.959851864318</v>
      </c>
      <c r="AF50" s="21"/>
      <c r="AG50" s="23">
        <f>$X$47*$AC$20</f>
        <v>76999.999999999985</v>
      </c>
      <c r="AH50" s="21"/>
      <c r="AI50" s="55">
        <f t="shared" si="8"/>
        <v>18516.959851864332</v>
      </c>
      <c r="AJ50" s="21"/>
      <c r="AK50" s="55">
        <f t="shared" si="9"/>
        <v>1079816.5137614678</v>
      </c>
    </row>
    <row r="51" spans="2:40" ht="18" customHeight="1">
      <c r="C51" s="90" t="s">
        <v>51</v>
      </c>
      <c r="D51" s="19"/>
      <c r="E51" s="58">
        <f t="shared" si="10"/>
        <v>0</v>
      </c>
      <c r="F51" s="59"/>
      <c r="G51" s="60">
        <f>$AO$9</f>
        <v>0.09</v>
      </c>
      <c r="H51" s="59"/>
      <c r="I51" s="58">
        <f t="shared" si="11"/>
        <v>0</v>
      </c>
      <c r="J51" s="59"/>
      <c r="K51" s="61">
        <f t="shared" si="12"/>
        <v>0</v>
      </c>
      <c r="L51" s="59"/>
      <c r="M51" s="58">
        <f t="shared" si="13"/>
        <v>0</v>
      </c>
      <c r="N51" s="59"/>
      <c r="O51" s="58">
        <f>E51+M51</f>
        <v>0</v>
      </c>
      <c r="Y51" s="18" t="s">
        <v>51</v>
      </c>
      <c r="Z51" s="19"/>
      <c r="AA51" s="55">
        <f t="shared" si="15"/>
        <v>1079816.5137614678</v>
      </c>
      <c r="AB51" s="21"/>
      <c r="AC51" s="22">
        <f>$AO$9</f>
        <v>0.09</v>
      </c>
      <c r="AD51" s="21"/>
      <c r="AE51" s="55">
        <f t="shared" si="7"/>
        <v>97183.486238532088</v>
      </c>
      <c r="AF51" s="21"/>
      <c r="AG51" s="23">
        <f>$X$47*$AC$20</f>
        <v>76999.999999999985</v>
      </c>
      <c r="AH51" s="21"/>
      <c r="AI51" s="55">
        <f t="shared" si="8"/>
        <v>20183.486238532103</v>
      </c>
      <c r="AJ51" s="21"/>
      <c r="AK51" s="55">
        <f>AA51+AI51</f>
        <v>1099999.9999999998</v>
      </c>
    </row>
    <row r="52" spans="2:40"/>
    <row r="53" spans="2:40">
      <c r="U53" s="56">
        <f>$AI$47</f>
        <v>14298.490498563609</v>
      </c>
      <c r="AM53" s="9" t="s">
        <v>72</v>
      </c>
    </row>
    <row r="54" spans="2:40" ht="18" customHeight="1">
      <c r="B54" s="94" t="s">
        <v>18</v>
      </c>
      <c r="C54" s="95"/>
      <c r="D54" s="96" t="s">
        <v>54</v>
      </c>
      <c r="E54" s="97"/>
      <c r="F54" s="97"/>
      <c r="G54" s="97"/>
      <c r="H54" s="98"/>
      <c r="I54" s="96" t="s">
        <v>52</v>
      </c>
      <c r="J54" s="98"/>
      <c r="K54" s="96" t="s">
        <v>53</v>
      </c>
      <c r="L54" s="98"/>
      <c r="U54" s="56">
        <f>$AI$70</f>
        <v>23165.504401831917</v>
      </c>
      <c r="X54" s="51" t="s">
        <v>18</v>
      </c>
      <c r="Y54" s="52"/>
      <c r="Z54" s="69" t="s">
        <v>54</v>
      </c>
      <c r="AA54" s="70"/>
      <c r="AB54" s="70"/>
      <c r="AC54" s="70"/>
      <c r="AD54" s="71"/>
      <c r="AE54" s="69" t="s">
        <v>52</v>
      </c>
      <c r="AF54" s="71"/>
      <c r="AG54" s="69" t="s">
        <v>53</v>
      </c>
      <c r="AH54" s="71"/>
    </row>
    <row r="55" spans="2:40" ht="21" customHeight="1">
      <c r="B55" s="53" t="s">
        <v>58</v>
      </c>
      <c r="D55" s="105"/>
      <c r="E55" s="106"/>
      <c r="F55" s="106"/>
      <c r="G55" s="106"/>
      <c r="H55" s="106"/>
      <c r="I55" s="108"/>
      <c r="J55" s="108"/>
      <c r="K55" s="75"/>
      <c r="L55" s="75"/>
      <c r="T55" s="7" t="str">
        <f>IF(D55&lt;&gt;"",VLOOKUP(D55,$AM$54:$AN$56,2,FALSE),"N")</f>
        <v>N</v>
      </c>
      <c r="U55" s="56">
        <f>$AG$47</f>
        <v>76999.999999999985</v>
      </c>
      <c r="X55" s="53" t="s">
        <v>58</v>
      </c>
      <c r="Z55" s="72" t="s">
        <v>55</v>
      </c>
      <c r="AA55" s="73"/>
      <c r="AB55" s="73"/>
      <c r="AC55" s="73"/>
      <c r="AD55" s="73"/>
      <c r="AE55" s="74">
        <f>AI20</f>
        <v>1014427.6722062621</v>
      </c>
      <c r="AF55" s="74"/>
      <c r="AG55" s="75"/>
      <c r="AH55" s="75"/>
      <c r="AM55" s="7" t="str">
        <f>$Z$55</f>
        <v>Cash</v>
      </c>
      <c r="AN55" s="57">
        <f>$AE$55</f>
        <v>1014427.6722062621</v>
      </c>
    </row>
    <row r="56" spans="2:40" ht="21" customHeight="1">
      <c r="B56" s="53"/>
      <c r="D56" s="127"/>
      <c r="E56" s="128"/>
      <c r="F56" s="128"/>
      <c r="G56" s="128"/>
      <c r="H56" s="128"/>
      <c r="I56" s="108"/>
      <c r="J56" s="108"/>
      <c r="K56" s="78"/>
      <c r="L56" s="78"/>
      <c r="T56" s="7" t="str">
        <f>IF(D56&lt;&gt;"",VLOOKUP(D56,$AM$54:$AN$56,2,FALSE),"N")</f>
        <v>N</v>
      </c>
      <c r="U56" s="56">
        <f>$AE$47</f>
        <v>91298.490498563595</v>
      </c>
      <c r="X56" s="53"/>
      <c r="Z56" s="83" t="s">
        <v>57</v>
      </c>
      <c r="AA56" s="84"/>
      <c r="AB56" s="84"/>
      <c r="AC56" s="84"/>
      <c r="AD56" s="84"/>
      <c r="AE56" s="74">
        <f>AA20-AI20</f>
        <v>85572.327793737873</v>
      </c>
      <c r="AF56" s="74"/>
      <c r="AG56" s="78"/>
      <c r="AH56" s="78"/>
      <c r="AM56" s="7" t="str">
        <f>$Z$56</f>
        <v>Discount on Bond Payable</v>
      </c>
      <c r="AN56" s="57">
        <f>$AE$56</f>
        <v>85572.327793737873</v>
      </c>
    </row>
    <row r="57" spans="2:40" ht="21" customHeight="1">
      <c r="B57" s="53"/>
      <c r="D57" s="107"/>
      <c r="E57" s="107"/>
      <c r="F57" s="107"/>
      <c r="G57" s="107"/>
      <c r="H57" s="107"/>
      <c r="I57" s="78"/>
      <c r="J57" s="78"/>
      <c r="K57" s="108"/>
      <c r="L57" s="108"/>
      <c r="U57" s="56">
        <f>$AE$70</f>
        <v>141834.49559816808</v>
      </c>
      <c r="X57" s="53"/>
      <c r="Z57" s="76" t="s">
        <v>56</v>
      </c>
      <c r="AA57" s="77"/>
      <c r="AB57" s="77"/>
      <c r="AC57" s="77"/>
      <c r="AD57" s="77"/>
      <c r="AE57" s="78"/>
      <c r="AF57" s="78"/>
      <c r="AG57" s="74">
        <f>AA20</f>
        <v>1100000</v>
      </c>
      <c r="AH57" s="74"/>
    </row>
    <row r="58" spans="2:40" ht="11.25" customHeight="1" thickBot="1">
      <c r="U58" s="56">
        <f>$AG$70</f>
        <v>165000</v>
      </c>
    </row>
    <row r="59" spans="2:40" ht="13.5" thickBot="1">
      <c r="C59" s="82" t="str">
        <f>Y59</f>
        <v>To record issuance of 7%, $1,100,000 bond due in five years</v>
      </c>
      <c r="D59" s="80"/>
      <c r="E59" s="80"/>
      <c r="F59" s="80"/>
      <c r="G59" s="80"/>
      <c r="H59" s="80"/>
      <c r="I59" s="80"/>
      <c r="J59" s="80"/>
      <c r="K59" s="80"/>
      <c r="L59" s="81"/>
      <c r="U59" s="56">
        <f>$AA$47</f>
        <v>1014427.6722062621</v>
      </c>
      <c r="Y59" s="82" t="str">
        <f>CONCATENATE("To record issuance of ",TEXT(AC20,"#%"),", ",TEXT(AA20,"$#,##0")," bond due in five years")</f>
        <v>To record issuance of 7%, $1,100,000 bond due in five years</v>
      </c>
      <c r="Z59" s="80"/>
      <c r="AA59" s="80"/>
      <c r="AB59" s="80"/>
      <c r="AC59" s="80"/>
      <c r="AD59" s="80"/>
      <c r="AE59" s="80"/>
      <c r="AF59" s="80"/>
      <c r="AG59" s="80"/>
      <c r="AH59" s="81"/>
    </row>
    <row r="60" spans="2:40" ht="12.75" customHeight="1">
      <c r="U60" s="56">
        <f>$AK$47</f>
        <v>1028726.1627048258</v>
      </c>
    </row>
    <row r="61" spans="2:40" ht="18" customHeight="1">
      <c r="B61" s="94" t="s">
        <v>18</v>
      </c>
      <c r="C61" s="95"/>
      <c r="D61" s="96" t="s">
        <v>54</v>
      </c>
      <c r="E61" s="97"/>
      <c r="F61" s="97"/>
      <c r="G61" s="97"/>
      <c r="H61" s="98"/>
      <c r="I61" s="96" t="s">
        <v>52</v>
      </c>
      <c r="J61" s="98"/>
      <c r="K61" s="96" t="s">
        <v>53</v>
      </c>
      <c r="L61" s="98"/>
      <c r="U61" s="56">
        <f>$AK$70</f>
        <v>1552773.3355778134</v>
      </c>
      <c r="X61" s="51" t="s">
        <v>18</v>
      </c>
      <c r="Y61" s="52"/>
      <c r="Z61" s="69" t="s">
        <v>54</v>
      </c>
      <c r="AA61" s="70"/>
      <c r="AB61" s="70"/>
      <c r="AC61" s="70"/>
      <c r="AD61" s="71"/>
      <c r="AE61" s="69" t="s">
        <v>52</v>
      </c>
      <c r="AF61" s="71"/>
      <c r="AG61" s="69" t="s">
        <v>53</v>
      </c>
      <c r="AH61" s="71"/>
    </row>
    <row r="62" spans="2:40" s="109" customFormat="1" ht="21" customHeight="1">
      <c r="B62" s="40" t="s">
        <v>20</v>
      </c>
      <c r="D62" s="110"/>
      <c r="E62" s="111"/>
      <c r="F62" s="111"/>
      <c r="G62" s="111"/>
      <c r="H62" s="111"/>
      <c r="I62" s="112"/>
      <c r="J62" s="112"/>
      <c r="K62" s="113"/>
      <c r="L62" s="113"/>
      <c r="U62" s="129">
        <f>$AA$70</f>
        <v>1575938.8399796453</v>
      </c>
      <c r="X62" s="40" t="s">
        <v>20</v>
      </c>
      <c r="Z62" s="115" t="s">
        <v>7</v>
      </c>
      <c r="AA62" s="116"/>
      <c r="AB62" s="116"/>
      <c r="AC62" s="116"/>
      <c r="AD62" s="116"/>
      <c r="AE62" s="117">
        <f>AE47</f>
        <v>91298.490498563595</v>
      </c>
      <c r="AF62" s="117"/>
      <c r="AG62" s="113"/>
      <c r="AH62" s="113"/>
    </row>
    <row r="63" spans="2:40" s="109" customFormat="1" ht="21" customHeight="1">
      <c r="B63" s="40"/>
      <c r="D63" s="122"/>
      <c r="E63" s="132"/>
      <c r="F63" s="132"/>
      <c r="G63" s="132"/>
      <c r="H63" s="132"/>
      <c r="I63" s="117"/>
      <c r="J63" s="117"/>
      <c r="K63" s="112"/>
      <c r="L63" s="112"/>
      <c r="T63" s="109" t="str">
        <f>IF(D63&lt;&gt;"",VLOOKUP(D63,$AM$62:$AN$64,2,FALSE),"N")</f>
        <v>N</v>
      </c>
      <c r="U63" s="35"/>
      <c r="X63" s="40"/>
      <c r="Z63" s="120" t="s">
        <v>57</v>
      </c>
      <c r="AA63" s="121"/>
      <c r="AB63" s="121"/>
      <c r="AC63" s="121"/>
      <c r="AD63" s="121"/>
      <c r="AE63" s="117"/>
      <c r="AF63" s="117"/>
      <c r="AG63" s="117">
        <f>AI47</f>
        <v>14298.490498563609</v>
      </c>
      <c r="AH63" s="117"/>
      <c r="AM63" s="109" t="str">
        <f>$Z$63</f>
        <v>Discount on Bond Payable</v>
      </c>
      <c r="AN63" s="131">
        <f>$AG$63</f>
        <v>14298.490498563609</v>
      </c>
    </row>
    <row r="64" spans="2:40" s="109" customFormat="1" ht="21" customHeight="1">
      <c r="B64" s="40"/>
      <c r="D64" s="122"/>
      <c r="E64" s="132"/>
      <c r="F64" s="132"/>
      <c r="G64" s="132"/>
      <c r="H64" s="132"/>
      <c r="I64" s="119"/>
      <c r="J64" s="119"/>
      <c r="K64" s="112"/>
      <c r="L64" s="112"/>
      <c r="T64" s="109" t="str">
        <f>IF(D64&lt;&gt;"",VLOOKUP(D64,$AM$62:$AN$64,2,FALSE),"N")</f>
        <v>N</v>
      </c>
      <c r="U64" s="35"/>
      <c r="X64" s="40"/>
      <c r="Z64" s="120" t="s">
        <v>55</v>
      </c>
      <c r="AA64" s="121"/>
      <c r="AB64" s="121"/>
      <c r="AC64" s="121"/>
      <c r="AD64" s="121"/>
      <c r="AE64" s="119"/>
      <c r="AF64" s="119"/>
      <c r="AG64" s="117">
        <f>AG47</f>
        <v>76999.999999999985</v>
      </c>
      <c r="AH64" s="117"/>
      <c r="AM64" s="109" t="str">
        <f>$Z$64</f>
        <v>Cash</v>
      </c>
      <c r="AN64" s="131">
        <f>$AG$64</f>
        <v>76999.999999999985</v>
      </c>
    </row>
    <row r="65" spans="1:40" ht="13.5" thickBot="1"/>
    <row r="66" spans="1:40" ht="13.5" thickBot="1">
      <c r="C66" s="79" t="str">
        <f>Y66</f>
        <v>To record interest payment and amortization</v>
      </c>
      <c r="D66" s="80"/>
      <c r="E66" s="80"/>
      <c r="F66" s="80"/>
      <c r="G66" s="80"/>
      <c r="H66" s="80"/>
      <c r="I66" s="80"/>
      <c r="J66" s="80"/>
      <c r="K66" s="80"/>
      <c r="L66" s="81"/>
      <c r="Y66" s="79" t="s">
        <v>71</v>
      </c>
      <c r="Z66" s="80"/>
      <c r="AA66" s="80"/>
      <c r="AB66" s="80"/>
      <c r="AC66" s="80"/>
      <c r="AD66" s="80"/>
      <c r="AE66" s="80"/>
      <c r="AF66" s="80"/>
      <c r="AG66" s="80"/>
      <c r="AH66" s="81"/>
    </row>
    <row r="67" spans="1:40"/>
    <row r="68" spans="1:40" ht="13.5" customHeight="1"/>
    <row r="69" spans="1:40" ht="38.25">
      <c r="A69" s="34" t="s">
        <v>63</v>
      </c>
      <c r="B69" s="86" t="s">
        <v>40</v>
      </c>
      <c r="C69" s="86"/>
      <c r="D69" s="86"/>
      <c r="E69" s="86" t="s">
        <v>6</v>
      </c>
      <c r="F69" s="87"/>
      <c r="G69" s="86" t="s">
        <v>23</v>
      </c>
      <c r="H69" s="87"/>
      <c r="I69" s="86" t="s">
        <v>7</v>
      </c>
      <c r="J69" s="88"/>
      <c r="K69" s="86" t="s">
        <v>8</v>
      </c>
      <c r="L69" s="86"/>
      <c r="M69" s="86" t="s">
        <v>9</v>
      </c>
      <c r="N69" s="88"/>
      <c r="O69" s="86" t="s">
        <v>10</v>
      </c>
      <c r="W69" s="34" t="s">
        <v>63</v>
      </c>
      <c r="X69" s="14" t="s">
        <v>40</v>
      </c>
      <c r="Y69" s="14"/>
      <c r="Z69" s="14"/>
      <c r="AA69" s="14" t="s">
        <v>6</v>
      </c>
      <c r="AB69" s="15"/>
      <c r="AC69" s="14" t="s">
        <v>23</v>
      </c>
      <c r="AD69" s="15"/>
      <c r="AE69" s="14" t="s">
        <v>7</v>
      </c>
      <c r="AF69" s="16"/>
      <c r="AG69" s="14" t="s">
        <v>8</v>
      </c>
      <c r="AH69" s="14"/>
      <c r="AI69" s="14" t="s">
        <v>9</v>
      </c>
      <c r="AJ69" s="16"/>
      <c r="AK69" s="14" t="s">
        <v>10</v>
      </c>
    </row>
    <row r="70" spans="1:40" ht="18" customHeight="1">
      <c r="B70" s="124">
        <f>E21</f>
        <v>1500000</v>
      </c>
      <c r="C70" s="90" t="s">
        <v>20</v>
      </c>
      <c r="D70" s="19"/>
      <c r="E70" s="126"/>
      <c r="F70" s="21"/>
      <c r="G70" s="44">
        <f>$AO$9</f>
        <v>0.09</v>
      </c>
      <c r="H70" s="21"/>
      <c r="I70" s="126"/>
      <c r="J70" s="21"/>
      <c r="K70" s="126"/>
      <c r="L70" s="21"/>
      <c r="M70" s="126"/>
      <c r="N70" s="21"/>
      <c r="O70" s="126"/>
      <c r="X70" s="64">
        <f>AA21</f>
        <v>1500000</v>
      </c>
      <c r="Y70" s="18" t="s">
        <v>20</v>
      </c>
      <c r="Z70" s="19"/>
      <c r="AA70" s="20">
        <f>AI21</f>
        <v>1575938.8399796453</v>
      </c>
      <c r="AB70" s="21"/>
      <c r="AC70" s="22">
        <f>$AO$9</f>
        <v>0.09</v>
      </c>
      <c r="AD70" s="21"/>
      <c r="AE70" s="55">
        <f>AA70*AC70</f>
        <v>141834.49559816808</v>
      </c>
      <c r="AF70" s="21"/>
      <c r="AG70" s="23">
        <f>$X$70*$AC$21</f>
        <v>165000</v>
      </c>
      <c r="AH70" s="21"/>
      <c r="AI70" s="55">
        <f>AG70-AE70</f>
        <v>23165.504401831917</v>
      </c>
      <c r="AJ70" s="21"/>
      <c r="AK70" s="55">
        <f>AA70-AI70</f>
        <v>1552773.3355778134</v>
      </c>
    </row>
    <row r="71" spans="1:40" ht="18" customHeight="1">
      <c r="B71" s="125"/>
      <c r="C71" s="90" t="s">
        <v>48</v>
      </c>
      <c r="D71" s="19"/>
      <c r="E71" s="58">
        <f>O70</f>
        <v>0</v>
      </c>
      <c r="F71" s="59"/>
      <c r="G71" s="60">
        <f>$AO$9</f>
        <v>0.09</v>
      </c>
      <c r="H71" s="59"/>
      <c r="I71" s="62">
        <f>E71*G71</f>
        <v>0</v>
      </c>
      <c r="J71" s="59"/>
      <c r="K71" s="61">
        <f>$K$70</f>
        <v>0</v>
      </c>
      <c r="L71" s="59"/>
      <c r="M71" s="58">
        <f t="shared" ref="M71:M72" si="16">K71-I71</f>
        <v>0</v>
      </c>
      <c r="N71" s="59"/>
      <c r="O71" s="58">
        <f t="shared" ref="O71:O72" si="17">E71-M71</f>
        <v>0</v>
      </c>
      <c r="X71" s="65"/>
      <c r="Y71" s="18" t="s">
        <v>48</v>
      </c>
      <c r="Z71" s="19"/>
      <c r="AA71" s="55">
        <f>AK70</f>
        <v>1552773.3355778134</v>
      </c>
      <c r="AB71" s="21"/>
      <c r="AC71" s="22">
        <f>$AO$9</f>
        <v>0.09</v>
      </c>
      <c r="AD71" s="21"/>
      <c r="AE71" s="55">
        <f t="shared" ref="AE71:AE72" si="18">AA71*AC71</f>
        <v>139749.6002020032</v>
      </c>
      <c r="AF71" s="21"/>
      <c r="AG71" s="23">
        <f>$X$70*$AC$21</f>
        <v>165000</v>
      </c>
      <c r="AH71" s="21"/>
      <c r="AI71" s="55">
        <f t="shared" ref="AI71:AI72" si="19">AG71-AE71</f>
        <v>25250.399797996797</v>
      </c>
      <c r="AJ71" s="21"/>
      <c r="AK71" s="55">
        <f t="shared" ref="AK71:AK72" si="20">AA71-AI71</f>
        <v>1527522.9357798167</v>
      </c>
    </row>
    <row r="72" spans="1:40" ht="18" customHeight="1">
      <c r="C72" s="90" t="s">
        <v>49</v>
      </c>
      <c r="D72" s="19"/>
      <c r="E72" s="58">
        <f t="shared" ref="E72" si="21">O71</f>
        <v>0</v>
      </c>
      <c r="F72" s="59"/>
      <c r="G72" s="60">
        <f>$AO$9</f>
        <v>0.09</v>
      </c>
      <c r="H72" s="59"/>
      <c r="I72" s="58">
        <f t="shared" ref="I72" si="22">E72*G72</f>
        <v>0</v>
      </c>
      <c r="J72" s="59"/>
      <c r="K72" s="61">
        <f>$K$70</f>
        <v>0</v>
      </c>
      <c r="L72" s="59"/>
      <c r="M72" s="58">
        <f t="shared" si="16"/>
        <v>0</v>
      </c>
      <c r="N72" s="59"/>
      <c r="O72" s="58">
        <f t="shared" si="17"/>
        <v>0</v>
      </c>
      <c r="Y72" s="18" t="s">
        <v>49</v>
      </c>
      <c r="Z72" s="19"/>
      <c r="AA72" s="55">
        <f t="shared" ref="AA72" si="23">AK71</f>
        <v>1527522.9357798167</v>
      </c>
      <c r="AB72" s="21"/>
      <c r="AC72" s="22">
        <f>$AO$9</f>
        <v>0.09</v>
      </c>
      <c r="AD72" s="21"/>
      <c r="AE72" s="55">
        <f t="shared" si="18"/>
        <v>137477.0642201835</v>
      </c>
      <c r="AF72" s="21"/>
      <c r="AG72" s="23">
        <f>$X$70*$AC$21</f>
        <v>165000</v>
      </c>
      <c r="AH72" s="21"/>
      <c r="AI72" s="55">
        <f t="shared" si="19"/>
        <v>27522.9357798165</v>
      </c>
      <c r="AJ72" s="21"/>
      <c r="AK72" s="55">
        <f t="shared" si="20"/>
        <v>1500000.0000000002</v>
      </c>
    </row>
    <row r="73" spans="1:40"/>
    <row r="74" spans="1:40"/>
    <row r="75" spans="1:40" ht="18" customHeight="1">
      <c r="B75" s="94" t="s">
        <v>18</v>
      </c>
      <c r="C75" s="95"/>
      <c r="D75" s="96" t="s">
        <v>54</v>
      </c>
      <c r="E75" s="97"/>
      <c r="F75" s="97"/>
      <c r="G75" s="97"/>
      <c r="H75" s="98"/>
      <c r="I75" s="96" t="s">
        <v>52</v>
      </c>
      <c r="J75" s="98"/>
      <c r="K75" s="96" t="s">
        <v>53</v>
      </c>
      <c r="L75" s="98"/>
      <c r="X75" s="51" t="s">
        <v>18</v>
      </c>
      <c r="Y75" s="52"/>
      <c r="Z75" s="69" t="s">
        <v>54</v>
      </c>
      <c r="AA75" s="70"/>
      <c r="AB75" s="70"/>
      <c r="AC75" s="70"/>
      <c r="AD75" s="71"/>
      <c r="AE75" s="69" t="s">
        <v>52</v>
      </c>
      <c r="AF75" s="71"/>
      <c r="AG75" s="69" t="s">
        <v>53</v>
      </c>
      <c r="AH75" s="71"/>
    </row>
    <row r="76" spans="1:40" s="109" customFormat="1" ht="21" customHeight="1">
      <c r="B76" s="40" t="s">
        <v>58</v>
      </c>
      <c r="D76" s="110"/>
      <c r="E76" s="111"/>
      <c r="F76" s="111"/>
      <c r="G76" s="111"/>
      <c r="H76" s="111"/>
      <c r="I76" s="112"/>
      <c r="J76" s="112"/>
      <c r="K76" s="113"/>
      <c r="L76" s="113"/>
      <c r="U76" s="35"/>
      <c r="X76" s="40" t="s">
        <v>58</v>
      </c>
      <c r="Z76" s="115" t="s">
        <v>55</v>
      </c>
      <c r="AA76" s="116"/>
      <c r="AB76" s="116"/>
      <c r="AC76" s="116"/>
      <c r="AD76" s="116"/>
      <c r="AE76" s="117">
        <f>AI21</f>
        <v>1575938.8399796453</v>
      </c>
      <c r="AF76" s="117"/>
      <c r="AG76" s="113"/>
      <c r="AH76" s="113"/>
    </row>
    <row r="77" spans="1:40" s="109" customFormat="1" ht="21" customHeight="1">
      <c r="B77" s="40"/>
      <c r="D77" s="122"/>
      <c r="E77" s="132"/>
      <c r="F77" s="132"/>
      <c r="G77" s="132"/>
      <c r="H77" s="132"/>
      <c r="I77" s="117"/>
      <c r="J77" s="117"/>
      <c r="K77" s="112"/>
      <c r="L77" s="112"/>
      <c r="T77" s="109" t="str">
        <f>IF(D77&lt;&gt;$Z$76,IF(D77&lt;&gt;"",VLOOKUP(D77,$AM$76:$AN$78,2,FALSE),"N"),"n")</f>
        <v>N</v>
      </c>
      <c r="U77" s="35"/>
      <c r="X77" s="40"/>
      <c r="Z77" s="120" t="s">
        <v>64</v>
      </c>
      <c r="AA77" s="121"/>
      <c r="AB77" s="121"/>
      <c r="AC77" s="121"/>
      <c r="AD77" s="121"/>
      <c r="AE77" s="117"/>
      <c r="AF77" s="117"/>
      <c r="AG77" s="117">
        <f>AE76-AG78</f>
        <v>75938.83997964533</v>
      </c>
      <c r="AH77" s="117"/>
      <c r="AM77" s="109" t="str">
        <f>$Z$77</f>
        <v>Premium on Bond Payable</v>
      </c>
      <c r="AN77" s="131">
        <f>$AG$77</f>
        <v>75938.83997964533</v>
      </c>
    </row>
    <row r="78" spans="1:40" s="109" customFormat="1" ht="21" customHeight="1">
      <c r="B78" s="40"/>
      <c r="D78" s="122"/>
      <c r="E78" s="132"/>
      <c r="F78" s="132"/>
      <c r="G78" s="132"/>
      <c r="H78" s="132"/>
      <c r="I78" s="119"/>
      <c r="J78" s="119"/>
      <c r="K78" s="112"/>
      <c r="L78" s="112"/>
      <c r="T78" s="109" t="str">
        <f>IF(D78&lt;&gt;$Z$76,IF(D78&lt;&gt;"",VLOOKUP(D78,$AM$76:$AN$78,2,FALSE),"N"),"n")</f>
        <v>N</v>
      </c>
      <c r="U78" s="35"/>
      <c r="X78" s="40"/>
      <c r="Z78" s="120" t="s">
        <v>56</v>
      </c>
      <c r="AA78" s="121"/>
      <c r="AB78" s="121"/>
      <c r="AC78" s="121"/>
      <c r="AD78" s="121"/>
      <c r="AE78" s="119"/>
      <c r="AF78" s="119"/>
      <c r="AG78" s="117">
        <f>AA21</f>
        <v>1500000</v>
      </c>
      <c r="AH78" s="117"/>
      <c r="AM78" s="109" t="str">
        <f>$Z$78</f>
        <v>Bond Payable</v>
      </c>
      <c r="AN78" s="131">
        <f>$AG$78</f>
        <v>1500000</v>
      </c>
    </row>
    <row r="79" spans="1:40" ht="13.5" thickBot="1"/>
    <row r="80" spans="1:40" ht="13.5" customHeight="1" thickBot="1">
      <c r="C80" s="82" t="str">
        <f>Y80</f>
        <v>To record issuance of 11%, $1,500,000 bond due in three years</v>
      </c>
      <c r="D80" s="80"/>
      <c r="E80" s="80"/>
      <c r="F80" s="80"/>
      <c r="G80" s="80"/>
      <c r="H80" s="80"/>
      <c r="I80" s="80"/>
      <c r="J80" s="80"/>
      <c r="K80" s="80"/>
      <c r="L80" s="81"/>
      <c r="Y80" s="82" t="str">
        <f>CONCATENATE("To record issuance of ",TEXT(AC21,"#%"),", ",TEXT(AA21,"$#,##0")," bond due in three years")</f>
        <v>To record issuance of 11%, $1,500,000 bond due in three years</v>
      </c>
      <c r="Z80" s="80"/>
      <c r="AA80" s="80"/>
      <c r="AB80" s="80"/>
      <c r="AC80" s="80"/>
      <c r="AD80" s="80"/>
      <c r="AE80" s="80"/>
      <c r="AF80" s="80"/>
      <c r="AG80" s="80"/>
      <c r="AH80" s="81"/>
    </row>
    <row r="81" spans="1:48"/>
    <row r="82" spans="1:48" ht="18" customHeight="1">
      <c r="B82" s="94" t="s">
        <v>18</v>
      </c>
      <c r="C82" s="95"/>
      <c r="D82" s="96" t="s">
        <v>54</v>
      </c>
      <c r="E82" s="97"/>
      <c r="F82" s="97"/>
      <c r="G82" s="97"/>
      <c r="H82" s="98"/>
      <c r="I82" s="96" t="s">
        <v>52</v>
      </c>
      <c r="J82" s="98"/>
      <c r="K82" s="96" t="s">
        <v>53</v>
      </c>
      <c r="L82" s="98"/>
      <c r="X82" s="51" t="s">
        <v>18</v>
      </c>
      <c r="Y82" s="52"/>
      <c r="Z82" s="69" t="s">
        <v>54</v>
      </c>
      <c r="AA82" s="70"/>
      <c r="AB82" s="70"/>
      <c r="AC82" s="70"/>
      <c r="AD82" s="71"/>
      <c r="AE82" s="69" t="s">
        <v>52</v>
      </c>
      <c r="AF82" s="71"/>
      <c r="AG82" s="69" t="s">
        <v>53</v>
      </c>
      <c r="AH82" s="71"/>
    </row>
    <row r="83" spans="1:48" s="109" customFormat="1" ht="21" customHeight="1">
      <c r="B83" s="40" t="s">
        <v>20</v>
      </c>
      <c r="D83" s="110"/>
      <c r="E83" s="111"/>
      <c r="F83" s="111"/>
      <c r="G83" s="111"/>
      <c r="H83" s="111"/>
      <c r="I83" s="112"/>
      <c r="J83" s="112"/>
      <c r="K83" s="113"/>
      <c r="L83" s="113"/>
      <c r="T83" s="109" t="str">
        <f>IF(D83&lt;&gt;$Z$85,IF(D83&lt;&gt;"",VLOOKUP(D83,$AM$82:$AN$84,2,FALSE),"N"),"n")</f>
        <v>N</v>
      </c>
      <c r="U83" s="35"/>
      <c r="X83" s="40" t="s">
        <v>20</v>
      </c>
      <c r="Z83" s="115" t="s">
        <v>7</v>
      </c>
      <c r="AA83" s="116"/>
      <c r="AB83" s="116"/>
      <c r="AC83" s="116"/>
      <c r="AD83" s="116"/>
      <c r="AE83" s="117">
        <f>AE70</f>
        <v>141834.49559816808</v>
      </c>
      <c r="AF83" s="117"/>
      <c r="AG83" s="113"/>
      <c r="AH83" s="113"/>
      <c r="AM83" s="109" t="str">
        <f>$Z$83</f>
        <v>Interest Expense</v>
      </c>
      <c r="AN83" s="131">
        <f>$AE$83</f>
        <v>141834.49559816808</v>
      </c>
    </row>
    <row r="84" spans="1:48" s="109" customFormat="1" ht="21" customHeight="1">
      <c r="B84" s="40"/>
      <c r="D84" s="118"/>
      <c r="E84" s="130"/>
      <c r="F84" s="130"/>
      <c r="G84" s="130"/>
      <c r="H84" s="130"/>
      <c r="I84" s="112"/>
      <c r="J84" s="112"/>
      <c r="T84" s="109" t="str">
        <f>IF(D84&lt;&gt;$Z$85,IF(D84&lt;&gt;"",VLOOKUP(D84,$AM$82:$AN$84,2,FALSE),"N"),"n")</f>
        <v>N</v>
      </c>
      <c r="U84" s="35"/>
      <c r="X84" s="40"/>
      <c r="Z84" s="120" t="s">
        <v>64</v>
      </c>
      <c r="AA84" s="121"/>
      <c r="AB84" s="121"/>
      <c r="AC84" s="121"/>
      <c r="AD84" s="121"/>
      <c r="AE84" s="117">
        <f>AI70</f>
        <v>23165.504401831917</v>
      </c>
      <c r="AF84" s="117"/>
      <c r="AM84" s="109" t="str">
        <f>$Z$84</f>
        <v>Premium on Bond Payable</v>
      </c>
      <c r="AN84" s="131">
        <f>$AE$84</f>
        <v>23165.504401831917</v>
      </c>
    </row>
    <row r="85" spans="1:48" s="109" customFormat="1" ht="21" customHeight="1">
      <c r="B85" s="40"/>
      <c r="D85" s="122"/>
      <c r="E85" s="122"/>
      <c r="F85" s="122"/>
      <c r="G85" s="122"/>
      <c r="H85" s="122"/>
      <c r="I85" s="119"/>
      <c r="J85" s="119"/>
      <c r="K85" s="112"/>
      <c r="L85" s="112"/>
      <c r="U85" s="35"/>
      <c r="X85" s="40"/>
      <c r="Z85" s="120" t="s">
        <v>55</v>
      </c>
      <c r="AA85" s="121"/>
      <c r="AB85" s="121"/>
      <c r="AC85" s="121"/>
      <c r="AD85" s="121"/>
      <c r="AE85" s="119"/>
      <c r="AF85" s="119"/>
      <c r="AG85" s="117">
        <f>AG70</f>
        <v>165000</v>
      </c>
      <c r="AH85" s="117"/>
    </row>
    <row r="86" spans="1:48" ht="13.5" thickBot="1"/>
    <row r="87" spans="1:48" ht="13.5" customHeight="1" thickBot="1">
      <c r="C87" s="79" t="str">
        <f>Y87</f>
        <v>To record interest payment and amortization</v>
      </c>
      <c r="D87" s="80"/>
      <c r="E87" s="80"/>
      <c r="F87" s="80"/>
      <c r="G87" s="80"/>
      <c r="H87" s="80"/>
      <c r="I87" s="80"/>
      <c r="J87" s="80"/>
      <c r="K87" s="80"/>
      <c r="L87" s="81"/>
      <c r="Y87" s="79" t="s">
        <v>71</v>
      </c>
      <c r="Z87" s="80"/>
      <c r="AA87" s="80"/>
      <c r="AB87" s="80"/>
      <c r="AC87" s="80"/>
      <c r="AD87" s="80"/>
      <c r="AE87" s="80"/>
      <c r="AF87" s="80"/>
      <c r="AG87" s="80"/>
      <c r="AH87" s="81"/>
    </row>
    <row r="88" spans="1:48"/>
    <row r="89" spans="1:48" ht="39" customHeight="1"/>
    <row r="90" spans="1:48" ht="45" customHeight="1">
      <c r="A90" s="34"/>
      <c r="B90" s="66" t="str">
        <f>X90</f>
        <v>In addition to the bonds issued on January 1, 20X2, Enter Name Here Construction LLC issued another bond also dated January 1, 20X2.  However, due to a delay in processing the actual issuance was delayed until April 1, 20X2.  Assume the market rate is still 9%.  Information related to the bond issued on April 1, 20X2 is as follows:</v>
      </c>
      <c r="C90" s="66"/>
      <c r="D90" s="66"/>
      <c r="E90" s="66"/>
      <c r="F90" s="66"/>
      <c r="G90" s="66"/>
      <c r="H90" s="66"/>
      <c r="I90" s="66"/>
      <c r="J90" s="66"/>
      <c r="K90" s="66"/>
      <c r="L90" s="66"/>
      <c r="M90" s="66"/>
      <c r="N90" s="66"/>
      <c r="O90" s="66"/>
      <c r="W90" s="34"/>
      <c r="X90" s="66" t="str">
        <f>CONCATENATE("In addition to the bonds issued on January 1, 20X2, ", Identification!$B$1, " Construction LLC issued another bond also dated January 1, 20X2.  However, due to a delay in processing the actual issuance was delayed until April 1, 20X2.  Assume the market rate is still ",TEXT(AO9,"#%"),".  Information related to the bond issued on April 1, 20X2 is as follows:")</f>
        <v>In addition to the bonds issued on January 1, 20X2, Enter Name Here Construction LLC issued another bond also dated January 1, 20X2.  However, due to a delay in processing the actual issuance was delayed until April 1, 20X2.  Assume the market rate is still 9%.  Information related to the bond issued on April 1, 20X2 is as follows:</v>
      </c>
      <c r="Y90" s="66"/>
      <c r="Z90" s="66"/>
      <c r="AA90" s="66"/>
      <c r="AB90" s="66"/>
      <c r="AC90" s="66"/>
      <c r="AD90" s="66"/>
      <c r="AE90" s="66"/>
      <c r="AF90" s="66"/>
      <c r="AG90" s="66"/>
      <c r="AH90" s="66"/>
      <c r="AI90" s="66"/>
      <c r="AJ90" s="66"/>
      <c r="AK90" s="66"/>
    </row>
    <row r="91" spans="1:48" ht="18.75" customHeight="1">
      <c r="AV91" s="9"/>
    </row>
    <row r="92" spans="1:48" s="36" customFormat="1" ht="27.75" customHeight="1">
      <c r="D92" s="91"/>
      <c r="E92" s="92" t="s">
        <v>65</v>
      </c>
      <c r="F92" s="91"/>
      <c r="G92" s="92" t="s">
        <v>40</v>
      </c>
      <c r="H92" s="91"/>
      <c r="I92" s="92" t="s">
        <v>41</v>
      </c>
      <c r="J92" s="91"/>
      <c r="K92" s="92" t="s">
        <v>45</v>
      </c>
      <c r="L92" s="93"/>
      <c r="M92" s="92" t="s">
        <v>44</v>
      </c>
      <c r="N92" s="92"/>
      <c r="U92" s="35"/>
      <c r="Z92" s="37"/>
      <c r="AA92" s="38" t="s">
        <v>65</v>
      </c>
      <c r="AB92" s="37"/>
      <c r="AC92" s="38" t="s">
        <v>40</v>
      </c>
      <c r="AD92" s="37"/>
      <c r="AE92" s="38" t="s">
        <v>41</v>
      </c>
      <c r="AF92" s="37"/>
      <c r="AG92" s="38" t="s">
        <v>45</v>
      </c>
      <c r="AH92" s="39"/>
      <c r="AI92" s="38" t="s">
        <v>44</v>
      </c>
      <c r="AJ92" s="38"/>
      <c r="AV92" s="40"/>
    </row>
    <row r="93" spans="1:48" s="109" customFormat="1" ht="21" customHeight="1">
      <c r="D93" s="99"/>
      <c r="E93" s="134" t="str">
        <f>AA93</f>
        <v>1/1/20X2</v>
      </c>
      <c r="F93" s="99"/>
      <c r="G93" s="100">
        <f>AC93</f>
        <v>1000000</v>
      </c>
      <c r="H93" s="101"/>
      <c r="I93" s="102">
        <f>AE93</f>
        <v>0.09</v>
      </c>
      <c r="J93" s="101"/>
      <c r="K93" s="103">
        <f>AG93</f>
        <v>2</v>
      </c>
      <c r="L93" s="101"/>
      <c r="M93" s="134" t="str">
        <f>AI93</f>
        <v>Semi-Annual</v>
      </c>
      <c r="N93" s="101"/>
      <c r="U93" s="35"/>
      <c r="Z93" s="99"/>
      <c r="AA93" s="134" t="s">
        <v>66</v>
      </c>
      <c r="AB93" s="99"/>
      <c r="AC93" s="100">
        <f>AA19-300000</f>
        <v>1000000</v>
      </c>
      <c r="AD93" s="101"/>
      <c r="AE93" s="102">
        <f>AO9</f>
        <v>0.09</v>
      </c>
      <c r="AF93" s="101"/>
      <c r="AG93" s="103">
        <v>2</v>
      </c>
      <c r="AH93" s="101"/>
      <c r="AI93" s="135" t="s">
        <v>43</v>
      </c>
      <c r="AJ93" s="101"/>
    </row>
    <row r="94" spans="1:48"/>
    <row r="95" spans="1:48"/>
    <row r="96" spans="1:48" ht="49.5" customHeight="1">
      <c r="A96" s="11" t="s">
        <v>68</v>
      </c>
      <c r="B96" s="63" t="s">
        <v>67</v>
      </c>
      <c r="C96" s="63"/>
      <c r="D96" s="63"/>
      <c r="E96" s="63"/>
      <c r="F96" s="63"/>
      <c r="G96" s="63"/>
      <c r="H96" s="63"/>
      <c r="I96" s="63"/>
      <c r="J96" s="63"/>
      <c r="K96" s="63"/>
      <c r="L96" s="63"/>
      <c r="M96" s="63"/>
      <c r="N96" s="63"/>
      <c r="O96" s="63"/>
      <c r="W96" s="34" t="s">
        <v>68</v>
      </c>
      <c r="X96" s="63" t="s">
        <v>67</v>
      </c>
      <c r="Y96" s="63"/>
      <c r="Z96" s="63"/>
      <c r="AA96" s="63"/>
      <c r="AB96" s="63"/>
      <c r="AC96" s="63"/>
      <c r="AD96" s="63"/>
      <c r="AE96" s="63"/>
      <c r="AF96" s="63"/>
      <c r="AG96" s="63"/>
      <c r="AH96" s="63"/>
      <c r="AI96" s="63"/>
      <c r="AJ96" s="63"/>
      <c r="AK96" s="63"/>
    </row>
    <row r="97" spans="2:40" ht="13.5" customHeight="1"/>
    <row r="98" spans="2:40"/>
    <row r="99" spans="2:40" ht="18" customHeight="1">
      <c r="B99" s="94" t="s">
        <v>18</v>
      </c>
      <c r="C99" s="95"/>
      <c r="D99" s="96" t="s">
        <v>54</v>
      </c>
      <c r="E99" s="97"/>
      <c r="F99" s="97"/>
      <c r="G99" s="97"/>
      <c r="H99" s="98"/>
      <c r="I99" s="96" t="s">
        <v>52</v>
      </c>
      <c r="J99" s="98"/>
      <c r="K99" s="96" t="s">
        <v>53</v>
      </c>
      <c r="L99" s="98"/>
      <c r="X99" s="51" t="s">
        <v>18</v>
      </c>
      <c r="Y99" s="52"/>
      <c r="Z99" s="69" t="s">
        <v>54</v>
      </c>
      <c r="AA99" s="70"/>
      <c r="AB99" s="70"/>
      <c r="AC99" s="70"/>
      <c r="AD99" s="71"/>
      <c r="AE99" s="69" t="s">
        <v>52</v>
      </c>
      <c r="AF99" s="71"/>
      <c r="AG99" s="69" t="s">
        <v>53</v>
      </c>
      <c r="AH99" s="71"/>
    </row>
    <row r="100" spans="2:40" s="109" customFormat="1" ht="21" customHeight="1">
      <c r="B100" s="40" t="s">
        <v>69</v>
      </c>
      <c r="D100" s="110"/>
      <c r="E100" s="111"/>
      <c r="F100" s="111"/>
      <c r="G100" s="111"/>
      <c r="H100" s="111"/>
      <c r="I100" s="112"/>
      <c r="J100" s="112"/>
      <c r="K100" s="113"/>
      <c r="L100" s="113"/>
      <c r="U100" s="35"/>
      <c r="X100" s="40" t="s">
        <v>69</v>
      </c>
      <c r="Z100" s="115" t="s">
        <v>55</v>
      </c>
      <c r="AA100" s="116"/>
      <c r="AB100" s="116"/>
      <c r="AC100" s="116"/>
      <c r="AD100" s="116"/>
      <c r="AE100" s="117">
        <f>AC93*AE93*3/12+AC93</f>
        <v>1022500</v>
      </c>
      <c r="AF100" s="117"/>
      <c r="AG100" s="113"/>
      <c r="AH100" s="113"/>
    </row>
    <row r="101" spans="2:40" s="109" customFormat="1" ht="21" customHeight="1">
      <c r="B101" s="40"/>
      <c r="D101" s="122"/>
      <c r="E101" s="132"/>
      <c r="F101" s="132"/>
      <c r="G101" s="132"/>
      <c r="H101" s="132"/>
      <c r="I101" s="117"/>
      <c r="J101" s="117"/>
      <c r="K101" s="112"/>
      <c r="L101" s="112"/>
      <c r="T101" s="109" t="str">
        <f>IF(D101&lt;&gt;$Z$100,IF(D101&lt;&gt;"",VLOOKUP(D101,$AM$100:$AN$102,2,FALSE),"N"),"n")</f>
        <v>N</v>
      </c>
      <c r="U101" s="35"/>
      <c r="X101" s="40"/>
      <c r="Z101" s="120" t="s">
        <v>70</v>
      </c>
      <c r="AA101" s="121"/>
      <c r="AB101" s="121"/>
      <c r="AC101" s="121"/>
      <c r="AD101" s="121"/>
      <c r="AE101" s="117"/>
      <c r="AF101" s="117"/>
      <c r="AG101" s="117">
        <f>AE100-AG102</f>
        <v>22500</v>
      </c>
      <c r="AH101" s="117"/>
      <c r="AM101" s="109" t="str">
        <f>$Z$101</f>
        <v>Interest Payable</v>
      </c>
      <c r="AN101" s="131">
        <f>$AG$101</f>
        <v>22500</v>
      </c>
    </row>
    <row r="102" spans="2:40" s="109" customFormat="1" ht="21" customHeight="1">
      <c r="B102" s="40"/>
      <c r="D102" s="122"/>
      <c r="E102" s="132"/>
      <c r="F102" s="132"/>
      <c r="G102" s="132"/>
      <c r="H102" s="132"/>
      <c r="I102" s="119"/>
      <c r="J102" s="119"/>
      <c r="K102" s="112"/>
      <c r="L102" s="112"/>
      <c r="T102" s="109" t="str">
        <f>IF(D102&lt;&gt;$Z$100,IF(D102&lt;&gt;"",VLOOKUP(D102,$AM$100:$AN$102,2,FALSE),"N"),"n")</f>
        <v>N</v>
      </c>
      <c r="U102" s="35"/>
      <c r="X102" s="40"/>
      <c r="Z102" s="120" t="s">
        <v>56</v>
      </c>
      <c r="AA102" s="121"/>
      <c r="AB102" s="121"/>
      <c r="AC102" s="121"/>
      <c r="AD102" s="121"/>
      <c r="AE102" s="119"/>
      <c r="AF102" s="119"/>
      <c r="AG102" s="117">
        <f>AC93</f>
        <v>1000000</v>
      </c>
      <c r="AH102" s="117"/>
      <c r="AM102" s="109" t="str">
        <f>$Z$102</f>
        <v>Bond Payable</v>
      </c>
      <c r="AN102" s="131">
        <f>$AG$102</f>
        <v>1000000</v>
      </c>
    </row>
    <row r="103" spans="2:40" ht="13.5" thickBot="1"/>
    <row r="104" spans="2:40" ht="13.5" customHeight="1" thickBot="1">
      <c r="C104" s="82" t="str">
        <f>CONCATENATE("To record issuance of ",TEXT(I93,"#%"),", ",TEXT(G93,"$#,##0")," bond dated ",B100," due in two years")</f>
        <v>To record issuance of 9%, $1,000,000 bond dated 4/1/X2 due in two years</v>
      </c>
      <c r="D104" s="80"/>
      <c r="E104" s="80"/>
      <c r="F104" s="80"/>
      <c r="G104" s="80"/>
      <c r="H104" s="80"/>
      <c r="I104" s="80"/>
      <c r="J104" s="80"/>
      <c r="K104" s="80"/>
      <c r="L104" s="81"/>
      <c r="Y104" s="82" t="str">
        <f>CONCATENATE("To record issuance of ",TEXT(AE93,"#%"),", ",TEXT(AC93,"$#,##0")," bond dated ",X100," due in two years")</f>
        <v>To record issuance of 9%, $1,000,000 bond dated 4/1/X2 due in two years</v>
      </c>
      <c r="Z104" s="80"/>
      <c r="AA104" s="80"/>
      <c r="AB104" s="80"/>
      <c r="AC104" s="80"/>
      <c r="AD104" s="80"/>
      <c r="AE104" s="80"/>
      <c r="AF104" s="80"/>
      <c r="AG104" s="80"/>
      <c r="AH104" s="81"/>
    </row>
    <row r="105" spans="2:40"/>
    <row r="106" spans="2:40" ht="18" customHeight="1">
      <c r="B106" s="94" t="s">
        <v>18</v>
      </c>
      <c r="C106" s="95"/>
      <c r="D106" s="96" t="s">
        <v>54</v>
      </c>
      <c r="E106" s="97"/>
      <c r="F106" s="97"/>
      <c r="G106" s="97"/>
      <c r="H106" s="98"/>
      <c r="I106" s="96" t="s">
        <v>52</v>
      </c>
      <c r="J106" s="98"/>
      <c r="K106" s="96" t="s">
        <v>53</v>
      </c>
      <c r="L106" s="98"/>
      <c r="X106" s="51" t="s">
        <v>18</v>
      </c>
      <c r="Y106" s="52"/>
      <c r="Z106" s="69" t="s">
        <v>54</v>
      </c>
      <c r="AA106" s="70"/>
      <c r="AB106" s="70"/>
      <c r="AC106" s="70"/>
      <c r="AD106" s="71"/>
      <c r="AE106" s="69" t="s">
        <v>52</v>
      </c>
      <c r="AF106" s="71"/>
      <c r="AG106" s="69" t="s">
        <v>53</v>
      </c>
      <c r="AH106" s="71"/>
    </row>
    <row r="107" spans="2:40" s="109" customFormat="1" ht="21" customHeight="1">
      <c r="B107" s="40" t="s">
        <v>60</v>
      </c>
      <c r="D107" s="118"/>
      <c r="E107" s="130"/>
      <c r="F107" s="130"/>
      <c r="G107" s="130"/>
      <c r="H107" s="130"/>
      <c r="I107" s="112"/>
      <c r="J107" s="112"/>
      <c r="K107" s="113"/>
      <c r="L107" s="113"/>
      <c r="T107" s="109" t="str">
        <f>IF(D107&lt;&gt;$Z$109,IF(D107&lt;&gt;"",VLOOKUP(D107,$AM$106:$AN$108,2,FALSE),"N"),"n")</f>
        <v>N</v>
      </c>
      <c r="U107" s="35"/>
      <c r="X107" s="40" t="s">
        <v>60</v>
      </c>
      <c r="Z107" s="115" t="s">
        <v>7</v>
      </c>
      <c r="AA107" s="116"/>
      <c r="AB107" s="116"/>
      <c r="AC107" s="116"/>
      <c r="AD107" s="116"/>
      <c r="AE107" s="117">
        <f>AC93*AE93*3/12</f>
        <v>22500</v>
      </c>
      <c r="AF107" s="117"/>
      <c r="AG107" s="113"/>
      <c r="AH107" s="113"/>
      <c r="AM107" s="109" t="str">
        <f>$Z$107</f>
        <v>Interest Expense</v>
      </c>
      <c r="AN107" s="131">
        <f>$AE$107</f>
        <v>22500</v>
      </c>
    </row>
    <row r="108" spans="2:40" s="109" customFormat="1" ht="21" customHeight="1">
      <c r="B108" s="40"/>
      <c r="D108" s="118"/>
      <c r="E108" s="130"/>
      <c r="F108" s="130"/>
      <c r="G108" s="130"/>
      <c r="H108" s="130"/>
      <c r="I108" s="112"/>
      <c r="J108" s="112"/>
      <c r="T108" s="109" t="str">
        <f>IF(D108&lt;&gt;$Z$109,IF(D108&lt;&gt;"",VLOOKUP(D108,$AM$106:$AN$108,2,FALSE),"N"),"n")</f>
        <v>N</v>
      </c>
      <c r="U108" s="35"/>
      <c r="X108" s="40"/>
      <c r="Z108" s="120" t="s">
        <v>70</v>
      </c>
      <c r="AA108" s="121"/>
      <c r="AB108" s="121"/>
      <c r="AC108" s="121"/>
      <c r="AD108" s="121"/>
      <c r="AE108" s="117">
        <f>AG101</f>
        <v>22500</v>
      </c>
      <c r="AF108" s="117"/>
      <c r="AM108" s="109" t="str">
        <f>$Z$108</f>
        <v>Interest Payable</v>
      </c>
      <c r="AN108" s="131">
        <f>$AE$108</f>
        <v>22500</v>
      </c>
    </row>
    <row r="109" spans="2:40" s="109" customFormat="1" ht="21" customHeight="1">
      <c r="B109" s="40"/>
      <c r="D109" s="122"/>
      <c r="E109" s="122"/>
      <c r="F109" s="122"/>
      <c r="G109" s="122"/>
      <c r="H109" s="122"/>
      <c r="I109" s="119"/>
      <c r="J109" s="119"/>
      <c r="K109" s="112"/>
      <c r="L109" s="112"/>
      <c r="U109" s="35"/>
      <c r="X109" s="40"/>
      <c r="Z109" s="120" t="s">
        <v>55</v>
      </c>
      <c r="AA109" s="121"/>
      <c r="AB109" s="121"/>
      <c r="AC109" s="121"/>
      <c r="AD109" s="121"/>
      <c r="AE109" s="119"/>
      <c r="AF109" s="119"/>
      <c r="AG109" s="117">
        <f>AC93*AE93*0.5</f>
        <v>45000</v>
      </c>
      <c r="AH109" s="117"/>
    </row>
    <row r="110" spans="2:40" ht="13.5" thickBot="1"/>
    <row r="111" spans="2:40" ht="13.5" customHeight="1" thickBot="1">
      <c r="C111" s="79" t="s">
        <v>61</v>
      </c>
      <c r="D111" s="80"/>
      <c r="E111" s="80"/>
      <c r="F111" s="80"/>
      <c r="G111" s="80"/>
      <c r="H111" s="80"/>
      <c r="I111" s="80"/>
      <c r="J111" s="80"/>
      <c r="K111" s="80"/>
      <c r="L111" s="81"/>
      <c r="Y111" s="79" t="s">
        <v>61</v>
      </c>
      <c r="Z111" s="80"/>
      <c r="AA111" s="80"/>
      <c r="AB111" s="80"/>
      <c r="AC111" s="80"/>
      <c r="AD111" s="80"/>
      <c r="AE111" s="80"/>
      <c r="AF111" s="80"/>
      <c r="AG111" s="80"/>
      <c r="AH111" s="81"/>
    </row>
    <row r="112" spans="2:40"/>
    <row r="113" spans="2:34" ht="18.75" customHeight="1">
      <c r="B113" s="94" t="s">
        <v>18</v>
      </c>
      <c r="C113" s="95"/>
      <c r="D113" s="96" t="s">
        <v>54</v>
      </c>
      <c r="E113" s="97"/>
      <c r="F113" s="97"/>
      <c r="G113" s="97"/>
      <c r="H113" s="98"/>
      <c r="I113" s="96" t="s">
        <v>52</v>
      </c>
      <c r="J113" s="98"/>
      <c r="K113" s="96" t="s">
        <v>53</v>
      </c>
      <c r="L113" s="98"/>
      <c r="X113" s="51" t="s">
        <v>18</v>
      </c>
      <c r="Y113" s="52"/>
      <c r="Z113" s="69" t="s">
        <v>54</v>
      </c>
      <c r="AA113" s="70"/>
      <c r="AB113" s="70"/>
      <c r="AC113" s="70"/>
      <c r="AD113" s="71"/>
      <c r="AE113" s="69" t="s">
        <v>52</v>
      </c>
      <c r="AF113" s="71"/>
      <c r="AG113" s="69" t="s">
        <v>53</v>
      </c>
      <c r="AH113" s="71"/>
    </row>
    <row r="114" spans="2:34" s="109" customFormat="1" ht="21" customHeight="1">
      <c r="B114" s="40" t="s">
        <v>20</v>
      </c>
      <c r="D114" s="110"/>
      <c r="E114" s="111"/>
      <c r="F114" s="111"/>
      <c r="G114" s="111"/>
      <c r="H114" s="111"/>
      <c r="I114" s="112"/>
      <c r="J114" s="112"/>
      <c r="K114" s="113"/>
      <c r="L114" s="113"/>
      <c r="U114" s="35"/>
      <c r="X114" s="40" t="s">
        <v>20</v>
      </c>
      <c r="Z114" s="115" t="s">
        <v>7</v>
      </c>
      <c r="AA114" s="116"/>
      <c r="AB114" s="116"/>
      <c r="AC114" s="116"/>
      <c r="AD114" s="116"/>
      <c r="AE114" s="117">
        <f>AC93*AE93*0.5</f>
        <v>45000</v>
      </c>
      <c r="AF114" s="117"/>
      <c r="AG114" s="113"/>
      <c r="AH114" s="113"/>
    </row>
    <row r="115" spans="2:34" s="109" customFormat="1" ht="21" customHeight="1">
      <c r="B115" s="40"/>
      <c r="D115" s="122"/>
      <c r="E115" s="122"/>
      <c r="F115" s="122"/>
      <c r="G115" s="122"/>
      <c r="H115" s="122"/>
      <c r="I115" s="119"/>
      <c r="J115" s="119"/>
      <c r="K115" s="133"/>
      <c r="L115" s="133"/>
      <c r="U115" s="35"/>
      <c r="X115" s="40"/>
      <c r="Z115" s="120" t="s">
        <v>55</v>
      </c>
      <c r="AA115" s="121"/>
      <c r="AB115" s="121"/>
      <c r="AC115" s="121"/>
      <c r="AD115" s="121"/>
      <c r="AE115" s="119"/>
      <c r="AF115" s="119"/>
      <c r="AG115" s="117">
        <f>AE114</f>
        <v>45000</v>
      </c>
      <c r="AH115" s="117"/>
    </row>
    <row r="116" spans="2:34" ht="13.5" thickBot="1"/>
    <row r="117" spans="2:34" ht="13.5" thickBot="1">
      <c r="C117" s="79" t="s">
        <v>61</v>
      </c>
      <c r="D117" s="80"/>
      <c r="E117" s="80"/>
      <c r="F117" s="80"/>
      <c r="G117" s="80"/>
      <c r="H117" s="80"/>
      <c r="I117" s="80"/>
      <c r="J117" s="80"/>
      <c r="K117" s="80"/>
      <c r="L117" s="81"/>
      <c r="Y117" s="79" t="s">
        <v>61</v>
      </c>
      <c r="Z117" s="80"/>
      <c r="AA117" s="80"/>
      <c r="AB117" s="80"/>
      <c r="AC117" s="80"/>
      <c r="AD117" s="80"/>
      <c r="AE117" s="80"/>
      <c r="AF117" s="80"/>
      <c r="AG117" s="80"/>
      <c r="AH117" s="81"/>
    </row>
    <row r="118" spans="2:34"/>
  </sheetData>
  <sheetProtection algorithmName="SHA-512" hashValue="KnZPfBXudGRVEZjGyCb8ZP1AOF2xh1vi7tQkFIRcvueDTDA/XdK4+76TU8UhkvqYD6D/QgJRclolKb62sJpgYQ==" saltValue="nYry1t2nNyRtG1P1vuIDiw==" spinCount="100000" sheet="1" objects="1" scenarios="1"/>
  <sortState ref="U6:U19">
    <sortCondition ref="U6"/>
  </sortState>
  <mergeCells count="253">
    <mergeCell ref="B1:O1"/>
    <mergeCell ref="D115:H115"/>
    <mergeCell ref="I115:J115"/>
    <mergeCell ref="K115:L115"/>
    <mergeCell ref="C117:L117"/>
    <mergeCell ref="C111:L111"/>
    <mergeCell ref="D113:H113"/>
    <mergeCell ref="I113:J113"/>
    <mergeCell ref="K113:L113"/>
    <mergeCell ref="D114:H114"/>
    <mergeCell ref="I114:J114"/>
    <mergeCell ref="K114:L114"/>
    <mergeCell ref="D108:H108"/>
    <mergeCell ref="I108:J108"/>
    <mergeCell ref="D109:H109"/>
    <mergeCell ref="I109:J109"/>
    <mergeCell ref="K109:L109"/>
    <mergeCell ref="C104:L104"/>
    <mergeCell ref="D106:H106"/>
    <mergeCell ref="I106:J106"/>
    <mergeCell ref="K106:L106"/>
    <mergeCell ref="D107:H107"/>
    <mergeCell ref="I107:J107"/>
    <mergeCell ref="K107:L107"/>
    <mergeCell ref="D101:H101"/>
    <mergeCell ref="I101:J101"/>
    <mergeCell ref="K101:L101"/>
    <mergeCell ref="D102:H102"/>
    <mergeCell ref="I102:J102"/>
    <mergeCell ref="K102:L102"/>
    <mergeCell ref="B96:O96"/>
    <mergeCell ref="D99:H99"/>
    <mergeCell ref="I99:J99"/>
    <mergeCell ref="K99:L99"/>
    <mergeCell ref="D100:H100"/>
    <mergeCell ref="I100:J100"/>
    <mergeCell ref="K100:L100"/>
    <mergeCell ref="D85:H85"/>
    <mergeCell ref="I85:J85"/>
    <mergeCell ref="K85:L85"/>
    <mergeCell ref="C87:L87"/>
    <mergeCell ref="B90:O90"/>
    <mergeCell ref="D83:H83"/>
    <mergeCell ref="I83:J83"/>
    <mergeCell ref="K83:L83"/>
    <mergeCell ref="D84:H84"/>
    <mergeCell ref="I84:J84"/>
    <mergeCell ref="D78:H78"/>
    <mergeCell ref="I78:J78"/>
    <mergeCell ref="K78:L78"/>
    <mergeCell ref="C80:L80"/>
    <mergeCell ref="D82:H82"/>
    <mergeCell ref="I82:J82"/>
    <mergeCell ref="K82:L82"/>
    <mergeCell ref="D76:H76"/>
    <mergeCell ref="I76:J76"/>
    <mergeCell ref="K76:L76"/>
    <mergeCell ref="D77:H77"/>
    <mergeCell ref="I77:J77"/>
    <mergeCell ref="K77:L77"/>
    <mergeCell ref="C66:L66"/>
    <mergeCell ref="B70:B71"/>
    <mergeCell ref="D75:H75"/>
    <mergeCell ref="I75:J75"/>
    <mergeCell ref="K75:L75"/>
    <mergeCell ref="D63:H63"/>
    <mergeCell ref="I63:J63"/>
    <mergeCell ref="K63:L63"/>
    <mergeCell ref="D64:H64"/>
    <mergeCell ref="I64:J64"/>
    <mergeCell ref="K64:L64"/>
    <mergeCell ref="C59:L59"/>
    <mergeCell ref="D61:H61"/>
    <mergeCell ref="I61:J61"/>
    <mergeCell ref="K61:L61"/>
    <mergeCell ref="D62:H62"/>
    <mergeCell ref="I62:J62"/>
    <mergeCell ref="K62:L62"/>
    <mergeCell ref="D56:H56"/>
    <mergeCell ref="I56:J56"/>
    <mergeCell ref="K56:L56"/>
    <mergeCell ref="D57:H57"/>
    <mergeCell ref="I57:J57"/>
    <mergeCell ref="K57:L57"/>
    <mergeCell ref="D54:H54"/>
    <mergeCell ref="I54:J54"/>
    <mergeCell ref="K54:L54"/>
    <mergeCell ref="D55:H55"/>
    <mergeCell ref="I55:J55"/>
    <mergeCell ref="K55:L55"/>
    <mergeCell ref="D39:H39"/>
    <mergeCell ref="I39:J39"/>
    <mergeCell ref="K39:L39"/>
    <mergeCell ref="C42:L42"/>
    <mergeCell ref="B47:B48"/>
    <mergeCell ref="D34:H34"/>
    <mergeCell ref="I34:J34"/>
    <mergeCell ref="K34:L34"/>
    <mergeCell ref="C36:L36"/>
    <mergeCell ref="D38:H38"/>
    <mergeCell ref="I38:J38"/>
    <mergeCell ref="K38:L38"/>
    <mergeCell ref="D32:H32"/>
    <mergeCell ref="I32:J32"/>
    <mergeCell ref="K32:L32"/>
    <mergeCell ref="D33:H33"/>
    <mergeCell ref="I33:J33"/>
    <mergeCell ref="K33:L33"/>
    <mergeCell ref="D40:H40"/>
    <mergeCell ref="I40:J40"/>
    <mergeCell ref="K40:L40"/>
    <mergeCell ref="Z115:AD115"/>
    <mergeCell ref="AE115:AF115"/>
    <mergeCell ref="AG115:AH115"/>
    <mergeCell ref="Y117:AH117"/>
    <mergeCell ref="B3:O3"/>
    <mergeCell ref="B5:O5"/>
    <mergeCell ref="B9:B10"/>
    <mergeCell ref="B12:B13"/>
    <mergeCell ref="B16:O16"/>
    <mergeCell ref="B23:O23"/>
    <mergeCell ref="D26:H26"/>
    <mergeCell ref="I26:J26"/>
    <mergeCell ref="K26:L26"/>
    <mergeCell ref="D27:H27"/>
    <mergeCell ref="I27:J27"/>
    <mergeCell ref="K27:L27"/>
    <mergeCell ref="Z114:AD114"/>
    <mergeCell ref="AE114:AF114"/>
    <mergeCell ref="AG114:AH114"/>
    <mergeCell ref="Z109:AD109"/>
    <mergeCell ref="AE109:AF109"/>
    <mergeCell ref="AG109:AH109"/>
    <mergeCell ref="Y111:AH111"/>
    <mergeCell ref="Z113:AD113"/>
    <mergeCell ref="AE113:AF113"/>
    <mergeCell ref="AG113:AH113"/>
    <mergeCell ref="Z107:AD107"/>
    <mergeCell ref="AE107:AF107"/>
    <mergeCell ref="AG107:AH107"/>
    <mergeCell ref="Z108:AD108"/>
    <mergeCell ref="AE108:AF108"/>
    <mergeCell ref="Z102:AD102"/>
    <mergeCell ref="AE102:AF102"/>
    <mergeCell ref="AG102:AH102"/>
    <mergeCell ref="Y104:AH104"/>
    <mergeCell ref="Z106:AD106"/>
    <mergeCell ref="AE106:AF106"/>
    <mergeCell ref="AG106:AH106"/>
    <mergeCell ref="Z100:AD100"/>
    <mergeCell ref="AE100:AF100"/>
    <mergeCell ref="AG100:AH100"/>
    <mergeCell ref="Z101:AD101"/>
    <mergeCell ref="AE101:AF101"/>
    <mergeCell ref="AG101:AH101"/>
    <mergeCell ref="Y87:AH87"/>
    <mergeCell ref="X90:AK90"/>
    <mergeCell ref="X96:AK96"/>
    <mergeCell ref="Z99:AD99"/>
    <mergeCell ref="AE99:AF99"/>
    <mergeCell ref="AG99:AH99"/>
    <mergeCell ref="Z84:AD84"/>
    <mergeCell ref="AE84:AF84"/>
    <mergeCell ref="Z85:AD85"/>
    <mergeCell ref="AE85:AF85"/>
    <mergeCell ref="AG85:AH85"/>
    <mergeCell ref="Y80:AH80"/>
    <mergeCell ref="Z82:AD82"/>
    <mergeCell ref="AE82:AF82"/>
    <mergeCell ref="AG82:AH82"/>
    <mergeCell ref="Z83:AD83"/>
    <mergeCell ref="AE83:AF83"/>
    <mergeCell ref="AG83:AH83"/>
    <mergeCell ref="Z78:AD78"/>
    <mergeCell ref="AE78:AF78"/>
    <mergeCell ref="AG78:AH78"/>
    <mergeCell ref="X70:X71"/>
    <mergeCell ref="Z75:AD75"/>
    <mergeCell ref="AE75:AF75"/>
    <mergeCell ref="AG75:AH75"/>
    <mergeCell ref="Z76:AD76"/>
    <mergeCell ref="AE76:AF76"/>
    <mergeCell ref="AG76:AH76"/>
    <mergeCell ref="Z38:AD38"/>
    <mergeCell ref="AE38:AF38"/>
    <mergeCell ref="AG38:AH38"/>
    <mergeCell ref="Z39:AD39"/>
    <mergeCell ref="AE39:AF39"/>
    <mergeCell ref="AG39:AH39"/>
    <mergeCell ref="Z77:AD77"/>
    <mergeCell ref="AE77:AF77"/>
    <mergeCell ref="AG77:AH77"/>
    <mergeCell ref="Z61:AD61"/>
    <mergeCell ref="AE61:AF61"/>
    <mergeCell ref="AG61:AH61"/>
    <mergeCell ref="Z62:AD62"/>
    <mergeCell ref="AE62:AF62"/>
    <mergeCell ref="AG62:AH62"/>
    <mergeCell ref="Y66:AH66"/>
    <mergeCell ref="Z63:AD63"/>
    <mergeCell ref="AE63:AF63"/>
    <mergeCell ref="AG63:AH63"/>
    <mergeCell ref="Z64:AD64"/>
    <mergeCell ref="AE64:AF64"/>
    <mergeCell ref="AG64:AH64"/>
    <mergeCell ref="K28:L28"/>
    <mergeCell ref="Z28:AD28"/>
    <mergeCell ref="AE28:AF28"/>
    <mergeCell ref="AG28:AH28"/>
    <mergeCell ref="Y30:AH30"/>
    <mergeCell ref="D28:H28"/>
    <mergeCell ref="I28:J28"/>
    <mergeCell ref="C30:L30"/>
    <mergeCell ref="Y59:AH59"/>
    <mergeCell ref="AE54:AF54"/>
    <mergeCell ref="AG54:AH54"/>
    <mergeCell ref="Z54:AD54"/>
    <mergeCell ref="AE55:AF55"/>
    <mergeCell ref="AG55:AH55"/>
    <mergeCell ref="Z55:AD55"/>
    <mergeCell ref="AE56:AF56"/>
    <mergeCell ref="AG56:AH56"/>
    <mergeCell ref="Z57:AD57"/>
    <mergeCell ref="AE57:AF57"/>
    <mergeCell ref="AG57:AH57"/>
    <mergeCell ref="Z56:AD56"/>
    <mergeCell ref="Y42:AH42"/>
    <mergeCell ref="Z32:AD32"/>
    <mergeCell ref="AE32:AF32"/>
    <mergeCell ref="X23:AK23"/>
    <mergeCell ref="X47:X48"/>
    <mergeCell ref="X16:AK16"/>
    <mergeCell ref="X3:AK3"/>
    <mergeCell ref="X5:AK5"/>
    <mergeCell ref="X9:X10"/>
    <mergeCell ref="X12:X13"/>
    <mergeCell ref="Z26:AD26"/>
    <mergeCell ref="AE26:AF26"/>
    <mergeCell ref="AG26:AH26"/>
    <mergeCell ref="Z27:AD27"/>
    <mergeCell ref="AE27:AF27"/>
    <mergeCell ref="AG27:AH27"/>
    <mergeCell ref="AG32:AH32"/>
    <mergeCell ref="Z33:AD33"/>
    <mergeCell ref="AE33:AF33"/>
    <mergeCell ref="AG33:AH33"/>
    <mergeCell ref="Z34:AD34"/>
    <mergeCell ref="AE34:AF34"/>
    <mergeCell ref="AG34:AH34"/>
    <mergeCell ref="Y36:AH36"/>
    <mergeCell ref="Z40:AD40"/>
    <mergeCell ref="AE40:AF40"/>
    <mergeCell ref="AG40:AH40"/>
  </mergeCells>
  <conditionalFormatting sqref="I9">
    <cfRule type="cellIs" dxfId="75" priority="77" operator="notEqual">
      <formula>$AE$9</formula>
    </cfRule>
  </conditionalFormatting>
  <conditionalFormatting sqref="M9">
    <cfRule type="cellIs" dxfId="74" priority="76" operator="notEqual">
      <formula>$AI$9</formula>
    </cfRule>
  </conditionalFormatting>
  <conditionalFormatting sqref="O9">
    <cfRule type="cellIs" dxfId="73" priority="75" operator="notEqual">
      <formula>$AK$9</formula>
    </cfRule>
  </conditionalFormatting>
  <conditionalFormatting sqref="O10">
    <cfRule type="cellIs" dxfId="72" priority="74" operator="notEqual">
      <formula>$AK$10</formula>
    </cfRule>
  </conditionalFormatting>
  <conditionalFormatting sqref="M10">
    <cfRule type="cellIs" dxfId="71" priority="73" operator="notEqual">
      <formula>$AI$10</formula>
    </cfRule>
  </conditionalFormatting>
  <conditionalFormatting sqref="I10">
    <cfRule type="cellIs" dxfId="70" priority="72" operator="notEqual">
      <formula>$AE$10</formula>
    </cfRule>
  </conditionalFormatting>
  <conditionalFormatting sqref="E10">
    <cfRule type="cellIs" dxfId="69" priority="71" operator="notEqual">
      <formula>$AA$10</formula>
    </cfRule>
  </conditionalFormatting>
  <conditionalFormatting sqref="E13">
    <cfRule type="cellIs" dxfId="68" priority="70" operator="notEqual">
      <formula>$AA$13</formula>
    </cfRule>
  </conditionalFormatting>
  <conditionalFormatting sqref="I12">
    <cfRule type="cellIs" dxfId="67" priority="69" operator="notEqual">
      <formula>$AE$12</formula>
    </cfRule>
  </conditionalFormatting>
  <conditionalFormatting sqref="I13">
    <cfRule type="cellIs" dxfId="66" priority="68" operator="notEqual">
      <formula>$AE$13</formula>
    </cfRule>
  </conditionalFormatting>
  <conditionalFormatting sqref="M12">
    <cfRule type="cellIs" dxfId="65" priority="67" operator="notEqual">
      <formula>$AI$12</formula>
    </cfRule>
  </conditionalFormatting>
  <conditionalFormatting sqref="M13">
    <cfRule type="cellIs" dxfId="64" priority="66" operator="notEqual">
      <formula>$AI$13</formula>
    </cfRule>
  </conditionalFormatting>
  <conditionalFormatting sqref="O12">
    <cfRule type="cellIs" dxfId="63" priority="65" operator="notEqual">
      <formula>AK12</formula>
    </cfRule>
  </conditionalFormatting>
  <conditionalFormatting sqref="O13">
    <cfRule type="cellIs" dxfId="62" priority="64" operator="notEqual">
      <formula>AK13</formula>
    </cfRule>
  </conditionalFormatting>
  <conditionalFormatting sqref="D27:H27">
    <cfRule type="cellIs" dxfId="61" priority="63" operator="notEqual">
      <formula>Z27</formula>
    </cfRule>
  </conditionalFormatting>
  <conditionalFormatting sqref="D28:H28">
    <cfRule type="cellIs" dxfId="60" priority="62" operator="notEqual">
      <formula>Z28</formula>
    </cfRule>
  </conditionalFormatting>
  <conditionalFormatting sqref="D33:H33">
    <cfRule type="cellIs" dxfId="59" priority="61" operator="notEqual">
      <formula>Z33</formula>
    </cfRule>
  </conditionalFormatting>
  <conditionalFormatting sqref="D39:H39">
    <cfRule type="cellIs" dxfId="58" priority="60" operator="notEqual">
      <formula>Z39</formula>
    </cfRule>
  </conditionalFormatting>
  <conditionalFormatting sqref="D34:H34">
    <cfRule type="cellIs" dxfId="57" priority="59" operator="notEqual">
      <formula>Z34</formula>
    </cfRule>
  </conditionalFormatting>
  <conditionalFormatting sqref="D40:H40">
    <cfRule type="cellIs" dxfId="56" priority="58" operator="notEqual">
      <formula>Z40</formula>
    </cfRule>
  </conditionalFormatting>
  <conditionalFormatting sqref="D57:H57">
    <cfRule type="cellIs" dxfId="55" priority="57" operator="notEqual">
      <formula>Z57</formula>
    </cfRule>
  </conditionalFormatting>
  <conditionalFormatting sqref="D62:H62">
    <cfRule type="cellIs" dxfId="54" priority="56" operator="notEqual">
      <formula>Z62</formula>
    </cfRule>
  </conditionalFormatting>
  <conditionalFormatting sqref="D76:H76">
    <cfRule type="cellIs" dxfId="53" priority="55" operator="notEqual">
      <formula>Z76</formula>
    </cfRule>
  </conditionalFormatting>
  <conditionalFormatting sqref="D85:H85">
    <cfRule type="cellIs" dxfId="52" priority="54" operator="notEqual">
      <formula>Z85</formula>
    </cfRule>
  </conditionalFormatting>
  <conditionalFormatting sqref="I27:J27">
    <cfRule type="cellIs" dxfId="51" priority="53" operator="notEqual">
      <formula>AE27</formula>
    </cfRule>
  </conditionalFormatting>
  <conditionalFormatting sqref="I33:J33">
    <cfRule type="cellIs" dxfId="50" priority="52" operator="notEqual">
      <formula>AE33</formula>
    </cfRule>
  </conditionalFormatting>
  <conditionalFormatting sqref="I39:J39">
    <cfRule type="cellIs" dxfId="49" priority="51" operator="notEqual">
      <formula>AE39</formula>
    </cfRule>
  </conditionalFormatting>
  <conditionalFormatting sqref="I62:J62">
    <cfRule type="cellIs" dxfId="48" priority="50" operator="notEqual">
      <formula>AE62</formula>
    </cfRule>
  </conditionalFormatting>
  <conditionalFormatting sqref="I76:J76">
    <cfRule type="cellIs" dxfId="47" priority="49" operator="notEqual">
      <formula>AE76</formula>
    </cfRule>
  </conditionalFormatting>
  <conditionalFormatting sqref="K28:L28">
    <cfRule type="cellIs" dxfId="46" priority="48" operator="notEqual">
      <formula>AG28</formula>
    </cfRule>
  </conditionalFormatting>
  <conditionalFormatting sqref="K34:L34">
    <cfRule type="cellIs" dxfId="45" priority="47" operator="notEqual">
      <formula>AG34</formula>
    </cfRule>
  </conditionalFormatting>
  <conditionalFormatting sqref="K40:L40">
    <cfRule type="cellIs" dxfId="44" priority="46" operator="notEqual">
      <formula>AG40</formula>
    </cfRule>
  </conditionalFormatting>
  <conditionalFormatting sqref="K57:L57">
    <cfRule type="cellIs" dxfId="43" priority="45" operator="notEqual">
      <formula>AG57</formula>
    </cfRule>
  </conditionalFormatting>
  <conditionalFormatting sqref="K85:L85">
    <cfRule type="cellIs" dxfId="42" priority="44" operator="notEqual">
      <formula>AG85</formula>
    </cfRule>
  </conditionalFormatting>
  <conditionalFormatting sqref="E47">
    <cfRule type="cellIs" dxfId="41" priority="43" operator="notEqual">
      <formula>AA47</formula>
    </cfRule>
  </conditionalFormatting>
  <conditionalFormatting sqref="I47">
    <cfRule type="cellIs" dxfId="40" priority="42" operator="notEqual">
      <formula>AE47</formula>
    </cfRule>
  </conditionalFormatting>
  <conditionalFormatting sqref="K47">
    <cfRule type="cellIs" dxfId="39" priority="41" operator="notEqual">
      <formula>AG47</formula>
    </cfRule>
  </conditionalFormatting>
  <conditionalFormatting sqref="M47">
    <cfRule type="cellIs" dxfId="38" priority="40" operator="notEqual">
      <formula>AI47</formula>
    </cfRule>
  </conditionalFormatting>
  <conditionalFormatting sqref="O47">
    <cfRule type="cellIs" dxfId="37" priority="39" operator="notEqual">
      <formula>AK47</formula>
    </cfRule>
  </conditionalFormatting>
  <conditionalFormatting sqref="E70">
    <cfRule type="cellIs" dxfId="36" priority="38" operator="notEqual">
      <formula>AA70</formula>
    </cfRule>
  </conditionalFormatting>
  <conditionalFormatting sqref="I70">
    <cfRule type="cellIs" dxfId="35" priority="37" operator="notEqual">
      <formula>AE70</formula>
    </cfRule>
  </conditionalFormatting>
  <conditionalFormatting sqref="K70">
    <cfRule type="cellIs" dxfId="34" priority="36" operator="notEqual">
      <formula>AG70</formula>
    </cfRule>
  </conditionalFormatting>
  <conditionalFormatting sqref="M70">
    <cfRule type="cellIs" dxfId="33" priority="35" operator="notEqual">
      <formula>AI70</formula>
    </cfRule>
  </conditionalFormatting>
  <conditionalFormatting sqref="O70">
    <cfRule type="cellIs" dxfId="32" priority="34" operator="notEqual">
      <formula>AK70</formula>
    </cfRule>
  </conditionalFormatting>
  <conditionalFormatting sqref="D109:H109">
    <cfRule type="cellIs" dxfId="31" priority="33" operator="notEqual">
      <formula>Z109</formula>
    </cfRule>
  </conditionalFormatting>
  <conditionalFormatting sqref="D115:H115">
    <cfRule type="cellIs" dxfId="30" priority="32" operator="notEqual">
      <formula>Z115</formula>
    </cfRule>
  </conditionalFormatting>
  <conditionalFormatting sqref="D100:H100">
    <cfRule type="cellIs" dxfId="29" priority="31" operator="notEqual">
      <formula>Z100</formula>
    </cfRule>
  </conditionalFormatting>
  <conditionalFormatting sqref="I100:J100">
    <cfRule type="cellIs" dxfId="28" priority="30" operator="notEqual">
      <formula>AE100</formula>
    </cfRule>
  </conditionalFormatting>
  <conditionalFormatting sqref="K109:L109">
    <cfRule type="cellIs" dxfId="27" priority="29" operator="notEqual">
      <formula>AG109</formula>
    </cfRule>
  </conditionalFormatting>
  <conditionalFormatting sqref="K115:L115">
    <cfRule type="cellIs" dxfId="26" priority="28" operator="notEqual">
      <formula>AG115</formula>
    </cfRule>
  </conditionalFormatting>
  <conditionalFormatting sqref="D114:H114">
    <cfRule type="cellIs" dxfId="25" priority="27" operator="notEqual">
      <formula>Z114</formula>
    </cfRule>
  </conditionalFormatting>
  <conditionalFormatting sqref="I114:J114">
    <cfRule type="cellIs" dxfId="24" priority="26" operator="notEqual">
      <formula>AE114</formula>
    </cfRule>
  </conditionalFormatting>
  <conditionalFormatting sqref="I55:J55">
    <cfRule type="cellIs" dxfId="23" priority="25" operator="notEqual">
      <formula>T55</formula>
    </cfRule>
  </conditionalFormatting>
  <conditionalFormatting sqref="I56:J56">
    <cfRule type="cellIs" dxfId="22" priority="24" operator="notEqual">
      <formula>T56</formula>
    </cfRule>
  </conditionalFormatting>
  <conditionalFormatting sqref="D55:H55">
    <cfRule type="expression" dxfId="21" priority="23">
      <formula>NOT(OR(D55=$Z$55,D55=$Z$56))</formula>
    </cfRule>
  </conditionalFormatting>
  <conditionalFormatting sqref="D56:H56">
    <cfRule type="expression" dxfId="20" priority="22">
      <formula>NOT(OR(D56=$Z$55,D56=$Z$56))</formula>
    </cfRule>
  </conditionalFormatting>
  <conditionalFormatting sqref="D63:H63">
    <cfRule type="expression" dxfId="19" priority="21">
      <formula>NOT(OR(D63=$Z$63,D63=$Z$64))</formula>
    </cfRule>
  </conditionalFormatting>
  <conditionalFormatting sqref="D64:H64">
    <cfRule type="expression" dxfId="18" priority="20">
      <formula>NOT(OR(D64=$Z$63,D64=$Z$64))</formula>
    </cfRule>
  </conditionalFormatting>
  <conditionalFormatting sqref="K63:L63">
    <cfRule type="cellIs" dxfId="17" priority="19" operator="notEqual">
      <formula>T63</formula>
    </cfRule>
  </conditionalFormatting>
  <conditionalFormatting sqref="K64:L64">
    <cfRule type="cellIs" dxfId="16" priority="18" operator="notEqual">
      <formula>T64</formula>
    </cfRule>
  </conditionalFormatting>
  <conditionalFormatting sqref="K77:L77">
    <cfRule type="cellIs" dxfId="15" priority="17" operator="notEqual">
      <formula>T77</formula>
    </cfRule>
  </conditionalFormatting>
  <conditionalFormatting sqref="K78:L78">
    <cfRule type="cellIs" dxfId="14" priority="16" operator="notEqual">
      <formula>T78</formula>
    </cfRule>
  </conditionalFormatting>
  <conditionalFormatting sqref="I83:J83">
    <cfRule type="cellIs" dxfId="13" priority="15" operator="notEqual">
      <formula>T83</formula>
    </cfRule>
  </conditionalFormatting>
  <conditionalFormatting sqref="I84:J84">
    <cfRule type="cellIs" dxfId="12" priority="14" operator="notEqual">
      <formula>T84</formula>
    </cfRule>
  </conditionalFormatting>
  <conditionalFormatting sqref="D77:H77">
    <cfRule type="expression" dxfId="11" priority="13">
      <formula>NOT(OR(D77=$Z$77,D77=$Z$78))</formula>
    </cfRule>
  </conditionalFormatting>
  <conditionalFormatting sqref="D78:H78">
    <cfRule type="expression" dxfId="10" priority="12">
      <formula>NOT(OR(D78=$Z$77,D78=$Z$78))</formula>
    </cfRule>
  </conditionalFormatting>
  <conditionalFormatting sqref="D83:H83">
    <cfRule type="expression" dxfId="9" priority="11">
      <formula>NOT(OR(D83=$Z$83,D83=$Z$84))</formula>
    </cfRule>
  </conditionalFormatting>
  <conditionalFormatting sqref="D84:H84">
    <cfRule type="expression" dxfId="8" priority="10">
      <formula>NOT(OR(D84=$Z$83,D84=$Z$84))</formula>
    </cfRule>
  </conditionalFormatting>
  <conditionalFormatting sqref="D102:H102">
    <cfRule type="expression" dxfId="7" priority="8">
      <formula>NOT(OR(D102=$Z$101,D102=$Z$102))</formula>
    </cfRule>
  </conditionalFormatting>
  <conditionalFormatting sqref="D101:H101">
    <cfRule type="expression" dxfId="6" priority="7">
      <formula>NOT(OR(D101=$Z$101,D101=$Z$102))</formula>
    </cfRule>
  </conditionalFormatting>
  <conditionalFormatting sqref="D108:H108">
    <cfRule type="expression" dxfId="5" priority="6">
      <formula>NOT(OR(D108=$Z$108,D108=$Z$107))</formula>
    </cfRule>
  </conditionalFormatting>
  <conditionalFormatting sqref="D107:H107">
    <cfRule type="expression" dxfId="4" priority="5">
      <formula>NOT(OR(D107=$Z$108,D107=$Z$107))</formula>
    </cfRule>
  </conditionalFormatting>
  <conditionalFormatting sqref="K101:L101">
    <cfRule type="cellIs" dxfId="3" priority="4" operator="notEqual">
      <formula>T101</formula>
    </cfRule>
  </conditionalFormatting>
  <conditionalFormatting sqref="K102:L102">
    <cfRule type="cellIs" dxfId="2" priority="3" operator="notEqual">
      <formula>T102</formula>
    </cfRule>
  </conditionalFormatting>
  <conditionalFormatting sqref="I107:J107">
    <cfRule type="cellIs" dxfId="1" priority="2" operator="notEqual">
      <formula>T107</formula>
    </cfRule>
  </conditionalFormatting>
  <conditionalFormatting sqref="I108:J108">
    <cfRule type="cellIs" dxfId="0" priority="1" operator="notEqual">
      <formula>T108</formula>
    </cfRule>
  </conditionalFormatting>
  <dataValidations count="4">
    <dataValidation type="list" showInputMessage="1" showErrorMessage="1" sqref="I9:I10 M9:M10 O9:O10 O12:O13 M12:M13 I12:I13 E10 E13">
      <formula1>format</formula1>
    </dataValidation>
    <dataValidation type="list" showInputMessage="1" showErrorMessage="1" sqref="D114:H115 D107:H109 D100:H102 D83:H85 D76:H78 D62:H64 D55:H57 D39:H40 D33:H34 D27:H28">
      <formula1>account</formula1>
    </dataValidation>
    <dataValidation type="list" showInputMessage="1" showErrorMessage="1" sqref="K115:L115 I114:J114 I107:J108 K109:L109 K101:L102 I100:J100 I83:J84 K85:L85 K77:L78 I76:J76 I62:J62 K63:L64 I55:J56 K57:L57 I39:J39 K40:L40 I33:J33 K34:L34 I27:J27 K28:L28">
      <formula1>JEvalues</formula1>
    </dataValidation>
    <dataValidation type="list" showInputMessage="1" showErrorMessage="1" sqref="E47 I47 K47 M47 O47 E70 I70 K70 M70 O70">
      <formula1>amortvalues</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Identification</vt:lpstr>
      <vt:lpstr>Problem</vt:lpstr>
      <vt:lpstr>account</vt:lpstr>
      <vt:lpstr>accounts</vt:lpstr>
      <vt:lpstr>amortvalues</vt:lpstr>
      <vt:lpstr>format</vt:lpstr>
      <vt:lpstr>JEvalues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Larry</cp:lastModifiedBy>
  <dcterms:created xsi:type="dcterms:W3CDTF">2017-07-29T16:55:17Z</dcterms:created>
  <dcterms:modified xsi:type="dcterms:W3CDTF">2017-08-30T23:08:34Z</dcterms:modified>
</cp:coreProperties>
</file>