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326"/>
  <workbookPr showInkAnnotation="0" autoCompressPictures="0"/>
  <mc:AlternateContent xmlns:mc="http://schemas.openxmlformats.org/markup-compatibility/2006">
    <mc:Choice Requires="x15">
      <x15ac:absPath xmlns:x15ac="http://schemas.microsoft.com/office/spreadsheetml/2010/11/ac" url="C:\Users\larry\Desktop\"/>
    </mc:Choice>
  </mc:AlternateContent>
  <workbookProtection workbookAlgorithmName="SHA-512" workbookHashValue="xnJ/e0fl+j5b/CEpHEV0g5tnuLIiTr190KU+Tniu+4Sz5Im/6ddxejXO5AkNs0hUXSYBzKh4aTU4/uRgTxZblw==" workbookSaltValue="N5eXg077eVpqGWdKYmzQ1w==" workbookSpinCount="100000" lockStructure="1"/>
  <bookViews>
    <workbookView xWindow="0" yWindow="0" windowWidth="28800" windowHeight="12210" tabRatio="500" xr2:uid="{00000000-000D-0000-FFFF-FFFF00000000}"/>
  </bookViews>
  <sheets>
    <sheet name="Identification" sheetId="1" r:id="rId1"/>
    <sheet name="Problem" sheetId="2" r:id="rId2"/>
  </sheets>
  <externalReferences>
    <externalReference r:id="rId3"/>
  </externalReferences>
  <definedNames>
    <definedName name="account">[1]Problem!$U$23:$U$29</definedName>
    <definedName name="account2">[1]Problem!#REF!</definedName>
    <definedName name="accounts">Problem!$O$21:$O$29</definedName>
    <definedName name="amortvalues">[1]Problem!$U$52:$U$62</definedName>
    <definedName name="format">[1]Problem!$U$5:$U$19</definedName>
    <definedName name="JEvalues">[1]Problem!$U$31:$U$49</definedName>
    <definedName name="type">Problem!$O$63:$O$68</definedName>
    <definedName name="Value">[1]Problem!#REF!</definedName>
    <definedName name="value2">[1]Problem!#REF!</definedName>
    <definedName name="values">Problem!$O$6:$O$20</definedName>
    <definedName name="values2">Problem!$O$30:$O$34</definedName>
  </definedNames>
  <calcPr calcId="171027" concurrentCalc="0"/>
  <extLst>
    <ext xmlns:mx="http://schemas.microsoft.com/office/mac/excel/2008/main" uri="{7523E5D3-25F3-A5E0-1632-64F254C22452}">
      <mx:ArchID Flags="2"/>
    </ext>
  </extLst>
</workbook>
</file>

<file path=xl/calcChain.xml><?xml version="1.0" encoding="utf-8"?>
<calcChain xmlns="http://schemas.openxmlformats.org/spreadsheetml/2006/main">
  <c r="B13" i="1" l="1"/>
  <c r="B14" i="1"/>
  <c r="E71" i="1"/>
  <c r="AJ5" i="2"/>
  <c r="AK10" i="2"/>
  <c r="AK11" i="2"/>
  <c r="AK12" i="2"/>
  <c r="AF8" i="2"/>
  <c r="B8" i="1"/>
  <c r="B9" i="1"/>
  <c r="B10" i="1"/>
  <c r="B11" i="1"/>
  <c r="B12" i="1"/>
  <c r="B15" i="1"/>
  <c r="B16" i="1"/>
  <c r="B17" i="1"/>
  <c r="B18" i="1"/>
  <c r="B19" i="1"/>
  <c r="B20" i="1"/>
  <c r="B21" i="1"/>
  <c r="B23"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AH5" i="2"/>
  <c r="AG5" i="2"/>
  <c r="AG8" i="2"/>
  <c r="AE8" i="2"/>
  <c r="S22" i="2"/>
  <c r="Q3" i="2"/>
  <c r="E72" i="1"/>
  <c r="AJ6" i="2"/>
  <c r="AJ10" i="2"/>
  <c r="AJ11" i="2"/>
  <c r="AF5" i="2"/>
  <c r="AD5" i="2"/>
  <c r="AF13" i="2"/>
  <c r="AE5" i="2"/>
  <c r="AE13" i="2"/>
  <c r="Q61" i="2"/>
  <c r="V64" i="2"/>
  <c r="V8" i="2"/>
  <c r="X9" i="2"/>
  <c r="X10" i="2"/>
  <c r="AB10" i="2"/>
  <c r="N10" i="2"/>
  <c r="AB9" i="2"/>
  <c r="N9" i="2"/>
  <c r="AA20" i="2"/>
  <c r="V18" i="2"/>
  <c r="X19" i="2"/>
  <c r="X20" i="2"/>
  <c r="AB20" i="2"/>
  <c r="N20" i="2"/>
  <c r="AB19" i="2"/>
  <c r="N19" i="2"/>
  <c r="O26" i="2"/>
  <c r="O9" i="2"/>
  <c r="O16" i="2"/>
  <c r="O8" i="2"/>
  <c r="O18" i="2"/>
  <c r="T54" i="2"/>
  <c r="O17" i="2"/>
  <c r="AA19" i="2"/>
  <c r="AA10" i="2"/>
  <c r="AA9" i="2"/>
  <c r="O66" i="2"/>
  <c r="T52" i="2"/>
  <c r="V52" i="2"/>
  <c r="O33" i="2"/>
  <c r="O34" i="2"/>
  <c r="AE11" i="2"/>
  <c r="V30" i="2"/>
  <c r="O32" i="2"/>
  <c r="AG11" i="2"/>
  <c r="AF11" i="2"/>
  <c r="T30" i="2"/>
  <c r="O31" i="2"/>
  <c r="O29" i="2"/>
  <c r="O25" i="2"/>
  <c r="O24" i="2"/>
  <c r="O28" i="2"/>
  <c r="O27" i="2"/>
  <c r="O23" i="2"/>
  <c r="O22" i="2"/>
  <c r="AD11" i="2"/>
  <c r="AG13" i="2"/>
  <c r="V35" i="2"/>
  <c r="O14" i="2"/>
  <c r="O12" i="2"/>
  <c r="T56" i="2"/>
  <c r="O19" i="2"/>
  <c r="T50" i="2"/>
  <c r="V50" i="2"/>
  <c r="O15" i="2"/>
  <c r="O11" i="2"/>
  <c r="V28" i="2"/>
  <c r="O13" i="2"/>
  <c r="T28" i="2"/>
  <c r="O7" i="2"/>
  <c r="O10" i="2"/>
  <c r="O20" i="2"/>
  <c r="D22" i="2"/>
  <c r="S38" i="2"/>
  <c r="D38" i="2"/>
  <c r="S44" i="2"/>
  <c r="D44" i="2"/>
  <c r="S67" i="2"/>
  <c r="D67" i="2"/>
  <c r="B61" i="2"/>
  <c r="Q47" i="2"/>
  <c r="B47" i="2"/>
  <c r="B32" i="2"/>
  <c r="Q25" i="2"/>
  <c r="B25" i="2"/>
  <c r="Q15" i="2"/>
  <c r="B15" i="2"/>
  <c r="S12" i="2"/>
  <c r="D12" i="2"/>
  <c r="Q5" i="2"/>
  <c r="B5" i="2"/>
  <c r="B3" i="2"/>
  <c r="X65" i="2"/>
  <c r="AC5" i="2"/>
  <c r="V54" i="2"/>
  <c r="V56" i="2"/>
  <c r="X36" i="2"/>
  <c r="X42" i="2"/>
  <c r="V41" i="2"/>
  <c r="D71" i="1"/>
  <c r="D72" i="1"/>
  <c r="C72" i="1"/>
  <c r="AH6" i="2"/>
  <c r="AI6" i="2"/>
  <c r="F71" i="1"/>
  <c r="F72" i="1"/>
  <c r="AK6" i="2"/>
  <c r="G71" i="1"/>
  <c r="G72" i="1"/>
  <c r="AL6" i="2"/>
  <c r="H71" i="1"/>
  <c r="H72" i="1"/>
  <c r="AM6" i="2"/>
  <c r="C73" i="1"/>
  <c r="AH7" i="2"/>
  <c r="D73" i="1"/>
  <c r="AI7" i="2"/>
  <c r="E73" i="1"/>
  <c r="AJ7" i="2"/>
  <c r="F73" i="1"/>
  <c r="AK7" i="2"/>
  <c r="G73" i="1"/>
  <c r="AL7" i="2"/>
  <c r="H73" i="1"/>
  <c r="AM7" i="2"/>
  <c r="C74" i="1"/>
  <c r="AH8" i="2"/>
  <c r="D74" i="1"/>
  <c r="AI8" i="2"/>
  <c r="E74" i="1"/>
  <c r="AJ8" i="2"/>
  <c r="F74" i="1"/>
  <c r="AK8" i="2"/>
  <c r="G74" i="1"/>
  <c r="AL8" i="2"/>
  <c r="H74" i="1"/>
  <c r="AM8" i="2"/>
  <c r="AI5" i="2"/>
  <c r="AK5" i="2"/>
  <c r="AL5" i="2"/>
  <c r="AM5" i="2"/>
</calcChain>
</file>

<file path=xl/sharedStrings.xml><?xml version="1.0" encoding="utf-8"?>
<sst xmlns="http://schemas.openxmlformats.org/spreadsheetml/2006/main" count="136" uniqueCount="65">
  <si>
    <t>Student Name:</t>
  </si>
  <si>
    <t>5 Digit Identification Number:</t>
  </si>
  <si>
    <t>Date:</t>
  </si>
  <si>
    <t>Random Number</t>
  </si>
  <si>
    <t>Randon numbers</t>
  </si>
  <si>
    <t xml:space="preserve">Applying what you have learned in chapter 14 select the correct answer for each red cell below.  Once the correct answer is selected the cell will turn green.  Round all answers to the nearest whole dollar.  When selecting your answers be sure that for each journal entry an account is not debited or credited twice.             </t>
  </si>
  <si>
    <t>Par Value</t>
  </si>
  <si>
    <t># Shares</t>
  </si>
  <si>
    <t>Issuance</t>
  </si>
  <si>
    <t>A)</t>
  </si>
  <si>
    <t>Date</t>
  </si>
  <si>
    <t>Account</t>
  </si>
  <si>
    <t>Debit</t>
  </si>
  <si>
    <t>Credit</t>
  </si>
  <si>
    <t>2/14/X1</t>
  </si>
  <si>
    <t>Cash</t>
  </si>
  <si>
    <t>Common Stock</t>
  </si>
  <si>
    <t>B)</t>
  </si>
  <si>
    <t>Paid-in Capital in Excess of Par - CS</t>
  </si>
  <si>
    <t>Preferred Stock</t>
  </si>
  <si>
    <t>C)</t>
  </si>
  <si>
    <t>Dividends</t>
  </si>
  <si>
    <t>Cumm.</t>
  </si>
  <si>
    <t>PS  Cumm Div</t>
  </si>
  <si>
    <t>Div to C/S</t>
  </si>
  <si>
    <t>Total</t>
  </si>
  <si>
    <t>Per Share</t>
  </si>
  <si>
    <t xml:space="preserve">Total </t>
  </si>
  <si>
    <t>CS</t>
  </si>
  <si>
    <t>Div to PS</t>
  </si>
  <si>
    <t>TOTAL DIV</t>
  </si>
  <si>
    <t>C.2)</t>
  </si>
  <si>
    <t>Assume the dividends were paid on August 15, 20X2 to owners on the date of record of July 15, 20X2.  Prepare the journal entries that would need to be recorded on the day the dividends were declared and paid.</t>
  </si>
  <si>
    <t>7/1/X1</t>
  </si>
  <si>
    <t>7/1/X2</t>
  </si>
  <si>
    <t>Dividends Payable</t>
  </si>
  <si>
    <t>8/15/X2</t>
  </si>
  <si>
    <t>Total Dividend Amount</t>
  </si>
  <si>
    <t>Dividend Per Share</t>
  </si>
  <si>
    <t>D)</t>
  </si>
  <si>
    <t>After 2-for-1 Stock Split</t>
  </si>
  <si>
    <t>Prior to 2-for-1 Stock Split</t>
  </si>
  <si>
    <t># of Shares Issued and Outstanding</t>
  </si>
  <si>
    <t>Total "Common Stock"</t>
  </si>
  <si>
    <t>Total "Paid-in Capital in Excess of Par - CS"</t>
  </si>
  <si>
    <t>E)</t>
  </si>
  <si>
    <t>Treasury Shares</t>
  </si>
  <si>
    <t>Treasury Price</t>
  </si>
  <si>
    <t>After Split</t>
  </si>
  <si>
    <t>Treasury Stock</t>
  </si>
  <si>
    <t>E.2)</t>
  </si>
  <si>
    <t>What kind of account is Treasury Stock?</t>
  </si>
  <si>
    <t>Contra Equity</t>
  </si>
  <si>
    <t>10/11/X3</t>
  </si>
  <si>
    <t xml:space="preserve"> </t>
  </si>
  <si>
    <t>Asset</t>
  </si>
  <si>
    <t>Liability</t>
  </si>
  <si>
    <t>Equity</t>
  </si>
  <si>
    <t>Contra Asset</t>
  </si>
  <si>
    <t xml:space="preserve">Applying what you have learned in chapter 14, select the correct answer for each red cell below.  Once the correct answer is selected the cell will turn green.  Round all answers to the nearest whole dollar.  When selecting your answers be sure that for each separate journal entry an account is not debited or credited twice and that the account name is selected before the value.      </t>
  </si>
  <si>
    <t>Your Name Here</t>
  </si>
  <si>
    <t>, the Brindinger Corporation is preparing to go public in hopes of raising enough capital to take its fruity beverages to consumers outside of the United States.  Below are a number of scenarios related to the Brindinger Corporation IPO and subsequent year's activities.  As the company controller it is your responsibility to prepare the appropriate journal entries for each situation.</t>
  </si>
  <si>
    <t>Paid-in-Capital in Excess of Par - PS</t>
  </si>
  <si>
    <t>C.1)</t>
  </si>
  <si>
    <t>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</si>
</sst>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_-* #,##0.00_-;\-* #,##0.00_-;_-* &quot;-&quot;??_-;_-@_-"/>
    <numFmt numFmtId="165" formatCode="[$-409]dd\-mmm\-yy;@"/>
    <numFmt numFmtId="166" formatCode="_-* #,##0_-;\-* #,##0_-;_-* &quot;-&quot;??_-;_-@_-"/>
    <numFmt numFmtId="167" formatCode="_(&quot;$&quot;* #,##0_);_(&quot;$&quot;* \(#,##0\);_(&quot;$&quot;* &quot;-&quot;??_);_(@_)"/>
    <numFmt numFmtId="168" formatCode="_(* #,##0_);_(* \(#,##0\);_(* &quot;-&quot;?_);_(@_)"/>
  </numFmts>
  <fonts count="19">
    <font>
      <sz val="10"/>
      <name val="Arial"/>
    </font>
    <font>
      <sz val="12"/>
      <color theme="1"/>
      <name val="Calibri"/>
      <family val="2"/>
      <scheme val="minor"/>
    </font>
    <font>
      <sz val="10"/>
      <name val="Arial"/>
    </font>
    <font>
      <sz val="10"/>
      <name val="Myriad Web Pro"/>
    </font>
    <font>
      <b/>
      <sz val="10"/>
      <color indexed="9"/>
      <name val="Myriad Web Pro"/>
    </font>
    <font>
      <sz val="10"/>
      <color indexed="16"/>
      <name val="Myriad Web Pro"/>
    </font>
    <font>
      <sz val="10"/>
      <color indexed="16"/>
      <name val="Myriad Pro"/>
    </font>
    <font>
      <sz val="10"/>
      <name val="Myriad Pro"/>
    </font>
    <font>
      <i/>
      <sz val="10"/>
      <name val="Myriad Web Pro"/>
    </font>
    <font>
      <sz val="12"/>
      <color indexed="12"/>
      <name val="Arial"/>
      <family val="2"/>
    </font>
    <font>
      <sz val="12"/>
      <name val="Myriad Pro"/>
    </font>
    <font>
      <sz val="12"/>
      <color indexed="16"/>
      <name val="Myriad Pro"/>
    </font>
    <font>
      <u/>
      <sz val="10"/>
      <color theme="10"/>
      <name val="Arial"/>
    </font>
    <font>
      <u/>
      <sz val="10"/>
      <color theme="11"/>
      <name val="Arial"/>
    </font>
    <font>
      <b/>
      <sz val="10"/>
      <name val="Arial"/>
      <charset val="204"/>
    </font>
    <font>
      <b/>
      <sz val="10"/>
      <name val="Myriad Web Pro"/>
    </font>
    <font>
      <i/>
      <sz val="10"/>
      <name val="Arial"/>
      <charset val="204"/>
    </font>
    <font>
      <b/>
      <sz val="10"/>
      <name val="Arial"/>
      <family val="2"/>
    </font>
    <font>
      <sz val="10"/>
      <name val="Arial"/>
      <family val="2"/>
    </font>
  </fonts>
  <fills count="16">
    <fill>
      <patternFill patternType="none"/>
    </fill>
    <fill>
      <patternFill patternType="gray125"/>
    </fill>
    <fill>
      <patternFill patternType="solid">
        <fgColor theme="0"/>
        <bgColor indexed="64"/>
      </patternFill>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rgb="FFFFFF00"/>
        <bgColor indexed="64"/>
      </patternFill>
    </fill>
    <fill>
      <patternFill patternType="solid">
        <fgColor theme="9"/>
        <bgColor indexed="64"/>
      </patternFill>
    </fill>
    <fill>
      <patternFill patternType="solid">
        <fgColor theme="4" tint="0.79998168889431442"/>
        <bgColor indexed="64"/>
      </patternFill>
    </fill>
    <fill>
      <patternFill patternType="solid">
        <fgColor rgb="FF00FF00"/>
        <bgColor indexed="64"/>
      </patternFill>
    </fill>
  </fills>
  <borders count="19">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indexed="10"/>
      </left>
      <right style="thin">
        <color indexed="10"/>
      </right>
      <top style="thin">
        <color indexed="10"/>
      </top>
      <bottom style="thin">
        <color indexed="10"/>
      </bottom>
      <diagonal/>
    </border>
    <border>
      <left style="hair">
        <color auto="1"/>
      </left>
      <right style="hair">
        <color auto="1"/>
      </right>
      <top style="hair">
        <color auto="1"/>
      </top>
      <bottom style="hair">
        <color auto="1"/>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9">
    <xf numFmtId="0" fontId="0" fillId="0" borderId="0"/>
    <xf numFmtId="164" fontId="1" fillId="0" borderId="0" applyFont="0" applyFill="0" applyBorder="0" applyAlignment="0" applyProtection="0"/>
    <xf numFmtId="0" fontId="3" fillId="3" borderId="0" applyNumberFormat="0" applyBorder="0" applyAlignment="0"/>
    <xf numFmtId="0" fontId="3" fillId="4" borderId="0"/>
    <xf numFmtId="0" fontId="4" fillId="4" borderId="0">
      <alignment horizontal="center" vertical="center"/>
    </xf>
    <xf numFmtId="3" fontId="3" fillId="5" borderId="2">
      <alignment horizontal="right" vertical="center" wrapText="1"/>
    </xf>
    <xf numFmtId="0" fontId="5" fillId="5" borderId="3">
      <alignment horizontal="left" vertical="center" wrapText="1"/>
    </xf>
    <xf numFmtId="0" fontId="6" fillId="5" borderId="0">
      <alignment horizontal="left" vertical="center" wrapText="1" indent="1"/>
    </xf>
    <xf numFmtId="3" fontId="7" fillId="5" borderId="4" applyNumberFormat="0" applyFont="0" applyAlignment="0">
      <alignment horizontal="center" vertical="center" wrapText="1"/>
    </xf>
    <xf numFmtId="16" fontId="3" fillId="5" borderId="0">
      <alignment horizontal="center" vertical="center" wrapText="1"/>
    </xf>
    <xf numFmtId="0" fontId="8" fillId="5" borderId="5">
      <alignment horizontal="justify" vertical="center" wrapText="1"/>
    </xf>
    <xf numFmtId="0" fontId="9" fillId="6" borderId="0" applyFont="0" applyAlignment="0">
      <alignment horizontal="center" vertical="center" wrapText="1"/>
    </xf>
    <xf numFmtId="0" fontId="4" fillId="6" borderId="4" applyAlignment="0">
      <alignment horizontal="center" vertical="center" wrapText="1"/>
    </xf>
    <xf numFmtId="165" fontId="10" fillId="7" borderId="6" applyNumberFormat="0" applyFont="0" applyFill="0" applyAlignment="0">
      <alignment horizontal="left" vertical="center" wrapText="1"/>
    </xf>
    <xf numFmtId="165" fontId="3" fillId="0" borderId="6" applyNumberFormat="0" applyFont="0" applyFill="0" applyAlignment="0">
      <alignment horizontal="center" vertical="center" wrapText="1"/>
    </xf>
    <xf numFmtId="165" fontId="3" fillId="8" borderId="7" applyNumberFormat="0" applyBorder="0" applyAlignment="0">
      <alignment horizontal="left" vertical="center" wrapText="1"/>
    </xf>
    <xf numFmtId="0" fontId="4" fillId="9" borderId="8" applyAlignment="0">
      <alignment vertical="center"/>
    </xf>
    <xf numFmtId="0" fontId="2" fillId="9" borderId="0">
      <alignment vertical="center"/>
    </xf>
    <xf numFmtId="165" fontId="3" fillId="7" borderId="9" applyNumberFormat="0" applyBorder="0" applyAlignment="0">
      <alignment horizontal="left" vertical="center" wrapText="1"/>
    </xf>
    <xf numFmtId="0" fontId="3" fillId="5" borderId="0" applyFill="0">
      <alignment horizontal="justify" vertical="top" wrapText="1"/>
    </xf>
    <xf numFmtId="0" fontId="11" fillId="0" borderId="0">
      <alignment horizontal="left" vertical="center" wrapText="1"/>
    </xf>
    <xf numFmtId="0" fontId="10" fillId="0" borderId="0">
      <alignment horizontal="left" vertical="center" wrapText="1"/>
    </xf>
    <xf numFmtId="0" fontId="3" fillId="10" borderId="0" applyNumberFormat="0" applyAlignment="0">
      <alignment vertical="center"/>
    </xf>
    <xf numFmtId="0" fontId="4" fillId="11" borderId="0" applyNumberFormat="0" applyAlignment="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cellStyleXfs>
  <cellXfs count="98">
    <xf numFmtId="0" fontId="0" fillId="0" borderId="0" xfId="0"/>
    <xf numFmtId="0" fontId="3" fillId="2" borderId="0" xfId="0" applyFont="1" applyFill="1" applyAlignment="1" applyProtection="1">
      <alignment horizontal="left" vertical="center"/>
    </xf>
    <xf numFmtId="0" fontId="3" fillId="2" borderId="0" xfId="0" applyFont="1" applyFill="1" applyAlignment="1" applyProtection="1">
      <alignment horizontal="center" vertical="center"/>
      <protection locked="0"/>
    </xf>
    <xf numFmtId="0" fontId="3" fillId="2" borderId="0" xfId="0" applyFont="1" applyFill="1" applyProtection="1"/>
    <xf numFmtId="14" fontId="3" fillId="2" borderId="0" xfId="0" applyNumberFormat="1" applyFont="1" applyFill="1" applyAlignment="1" applyProtection="1">
      <alignment horizontal="center" vertical="center"/>
      <protection locked="0"/>
    </xf>
    <xf numFmtId="1" fontId="3" fillId="2" borderId="1" xfId="0" applyNumberFormat="1" applyFont="1" applyFill="1" applyBorder="1" applyProtection="1"/>
    <xf numFmtId="1" fontId="15" fillId="12" borderId="1" xfId="0" applyNumberFormat="1" applyFont="1" applyFill="1" applyBorder="1" applyProtection="1"/>
    <xf numFmtId="1" fontId="3" fillId="12" borderId="1" xfId="0" applyNumberFormat="1" applyFont="1" applyFill="1" applyBorder="1" applyProtection="1"/>
    <xf numFmtId="0" fontId="14" fillId="13" borderId="1" xfId="0" applyFont="1" applyFill="1" applyBorder="1" applyAlignment="1" applyProtection="1">
      <alignment horizontal="center" vertical="center" wrapText="1"/>
    </xf>
    <xf numFmtId="0" fontId="14" fillId="13" borderId="10" xfId="0" applyFont="1" applyFill="1" applyBorder="1" applyAlignment="1" applyProtection="1">
      <alignment vertical="center" wrapText="1"/>
    </xf>
    <xf numFmtId="0" fontId="0" fillId="2" borderId="0" xfId="0" applyFill="1" applyAlignment="1" applyProtection="1">
      <alignment vertical="center"/>
    </xf>
    <xf numFmtId="0" fontId="0" fillId="2" borderId="0" xfId="0" applyFill="1" applyProtection="1"/>
    <xf numFmtId="0" fontId="14"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8" fillId="2" borderId="0" xfId="0" applyFont="1" applyFill="1" applyProtection="1"/>
    <xf numFmtId="0" fontId="18" fillId="2" borderId="0" xfId="0" applyFont="1" applyFill="1" applyAlignment="1" applyProtection="1">
      <alignment horizontal="center" vertical="center" wrapText="1"/>
    </xf>
    <xf numFmtId="0" fontId="14" fillId="2" borderId="0" xfId="0" applyFont="1" applyFill="1" applyAlignment="1" applyProtection="1">
      <alignment vertical="center"/>
    </xf>
    <xf numFmtId="44" fontId="0" fillId="2" borderId="0" xfId="0" applyNumberFormat="1" applyFill="1" applyProtection="1"/>
    <xf numFmtId="166" fontId="18" fillId="2" borderId="0" xfId="0" applyNumberFormat="1" applyFont="1" applyFill="1" applyAlignment="1" applyProtection="1">
      <alignment horizontal="center" wrapText="1"/>
    </xf>
    <xf numFmtId="44" fontId="0" fillId="2" borderId="0" xfId="38" applyFont="1" applyFill="1" applyProtection="1"/>
    <xf numFmtId="166" fontId="0" fillId="2" borderId="0" xfId="1" applyNumberFormat="1" applyFont="1" applyFill="1" applyAlignment="1" applyProtection="1">
      <alignment horizontal="center" wrapText="1"/>
    </xf>
    <xf numFmtId="167" fontId="0" fillId="2" borderId="0" xfId="0" applyNumberFormat="1" applyFill="1" applyProtection="1"/>
    <xf numFmtId="166" fontId="0" fillId="2" borderId="0" xfId="1" applyNumberFormat="1" applyFont="1" applyFill="1" applyProtection="1"/>
    <xf numFmtId="44" fontId="0" fillId="2" borderId="0" xfId="38" applyNumberFormat="1" applyFont="1" applyFill="1" applyProtection="1"/>
    <xf numFmtId="167" fontId="0" fillId="2" borderId="0" xfId="38" applyNumberFormat="1" applyFont="1" applyFill="1" applyProtection="1"/>
    <xf numFmtId="168" fontId="0" fillId="2" borderId="0" xfId="0" applyNumberFormat="1" applyFill="1" applyProtection="1"/>
    <xf numFmtId="0" fontId="0" fillId="2" borderId="0" xfId="0" applyFill="1" applyAlignment="1" applyProtection="1"/>
    <xf numFmtId="0" fontId="17" fillId="2" borderId="0" xfId="0" applyFont="1" applyFill="1" applyAlignment="1" applyProtection="1">
      <alignment vertical="center"/>
    </xf>
    <xf numFmtId="0" fontId="14" fillId="14" borderId="1" xfId="0" applyFont="1" applyFill="1" applyBorder="1" applyAlignment="1" applyProtection="1">
      <alignment horizontal="center" vertical="center" wrapText="1"/>
    </xf>
    <xf numFmtId="0" fontId="14" fillId="14" borderId="10" xfId="0" applyFont="1" applyFill="1" applyBorder="1" applyAlignment="1" applyProtection="1">
      <alignment vertical="center" wrapText="1"/>
    </xf>
    <xf numFmtId="0" fontId="16" fillId="2" borderId="1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7" fillId="2" borderId="0" xfId="0" applyFont="1" applyFill="1" applyAlignment="1" applyProtection="1">
      <alignment horizontal="center"/>
    </xf>
    <xf numFmtId="166" fontId="0" fillId="15" borderId="13" xfId="1" applyNumberFormat="1" applyFont="1" applyFill="1" applyBorder="1" applyAlignment="1" applyProtection="1">
      <alignment horizontal="center" vertical="center"/>
      <protection locked="0"/>
    </xf>
    <xf numFmtId="0" fontId="17" fillId="2" borderId="0" xfId="0" applyFont="1" applyFill="1" applyAlignment="1" applyProtection="1">
      <alignment horizontal="center" vertical="center" wrapText="1"/>
    </xf>
    <xf numFmtId="0" fontId="14" fillId="14" borderId="10" xfId="0" applyFont="1" applyFill="1" applyBorder="1" applyAlignment="1" applyProtection="1">
      <alignment horizontal="center" vertical="center" wrapText="1"/>
    </xf>
    <xf numFmtId="0" fontId="14" fillId="14" borderId="11" xfId="0" applyFont="1" applyFill="1" applyBorder="1" applyAlignment="1" applyProtection="1">
      <alignment horizontal="center" vertical="center" wrapText="1"/>
    </xf>
    <xf numFmtId="0" fontId="14" fillId="14" borderId="12" xfId="0" applyFont="1" applyFill="1" applyBorder="1" applyAlignment="1" applyProtection="1">
      <alignment horizontal="center" vertical="center" wrapText="1"/>
    </xf>
    <xf numFmtId="0" fontId="0" fillId="2" borderId="0" xfId="0" applyFill="1" applyAlignment="1" applyProtection="1">
      <alignment horizontal="center"/>
    </xf>
    <xf numFmtId="0" fontId="17" fillId="14" borderId="10" xfId="0" applyFont="1" applyFill="1" applyBorder="1" applyAlignment="1" applyProtection="1">
      <alignment horizontal="center" vertical="center" wrapText="1"/>
    </xf>
    <xf numFmtId="0" fontId="17" fillId="14" borderId="11" xfId="0" applyFont="1" applyFill="1" applyBorder="1" applyAlignment="1" applyProtection="1">
      <alignment horizontal="center" vertical="center" wrapText="1"/>
    </xf>
    <xf numFmtId="0" fontId="17" fillId="14" borderId="12" xfId="0" applyFont="1" applyFill="1" applyBorder="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10" xfId="0" applyFont="1" applyFill="1" applyBorder="1" applyAlignment="1" applyProtection="1">
      <alignment horizontal="center"/>
    </xf>
    <xf numFmtId="0" fontId="16" fillId="2" borderId="11" xfId="0" applyFont="1" applyFill="1" applyBorder="1" applyAlignment="1" applyProtection="1">
      <alignment horizontal="center"/>
    </xf>
    <xf numFmtId="0" fontId="16" fillId="2" borderId="12" xfId="0" applyFont="1" applyFill="1" applyBorder="1" applyAlignment="1" applyProtection="1">
      <alignment horizontal="center"/>
    </xf>
    <xf numFmtId="0" fontId="18" fillId="2" borderId="17" xfId="0" applyFont="1" applyFill="1" applyBorder="1" applyAlignment="1" applyProtection="1">
      <alignment horizontal="center"/>
    </xf>
    <xf numFmtId="0" fontId="18" fillId="2" borderId="18" xfId="0" applyFont="1" applyFill="1" applyBorder="1" applyAlignment="1" applyProtection="1">
      <alignment horizontal="center"/>
    </xf>
    <xf numFmtId="0" fontId="0" fillId="2" borderId="0" xfId="0" applyFill="1" applyAlignment="1" applyProtection="1">
      <alignment horizontal="center" vertical="center" wrapText="1"/>
    </xf>
    <xf numFmtId="0" fontId="17" fillId="13" borderId="10" xfId="0" applyFont="1" applyFill="1" applyBorder="1" applyAlignment="1" applyProtection="1">
      <alignment horizontal="center" vertical="center" wrapText="1"/>
    </xf>
    <xf numFmtId="0" fontId="14" fillId="13" borderId="12" xfId="0" applyFont="1" applyFill="1" applyBorder="1" applyAlignment="1" applyProtection="1">
      <alignment horizontal="center" vertical="center" wrapText="1"/>
    </xf>
    <xf numFmtId="0" fontId="14" fillId="13" borderId="10" xfId="0" applyFont="1" applyFill="1" applyBorder="1" applyAlignment="1" applyProtection="1">
      <alignment horizontal="center" vertical="center" wrapText="1"/>
    </xf>
    <xf numFmtId="0" fontId="14" fillId="13" borderId="11" xfId="0" applyFont="1" applyFill="1" applyBorder="1" applyAlignment="1" applyProtection="1">
      <alignment horizontal="center" vertical="center" wrapText="1"/>
    </xf>
    <xf numFmtId="167" fontId="0" fillId="2" borderId="15" xfId="0" applyNumberFormat="1" applyFill="1" applyBorder="1" applyAlignment="1" applyProtection="1">
      <alignment horizontal="center"/>
    </xf>
    <xf numFmtId="167" fontId="0" fillId="2" borderId="16" xfId="0" applyNumberFormat="1" applyFill="1" applyBorder="1" applyAlignment="1" applyProtection="1">
      <alignment horizontal="center"/>
    </xf>
    <xf numFmtId="0" fontId="17" fillId="13" borderId="11" xfId="0" applyFont="1" applyFill="1" applyBorder="1" applyAlignment="1" applyProtection="1">
      <alignment horizontal="center" vertical="center" wrapText="1"/>
    </xf>
    <xf numFmtId="0" fontId="17" fillId="13" borderId="12" xfId="0" applyFont="1" applyFill="1" applyBorder="1" applyAlignment="1" applyProtection="1">
      <alignment horizontal="center" vertical="center" wrapText="1"/>
    </xf>
    <xf numFmtId="166" fontId="0" fillId="2" borderId="15" xfId="1" applyNumberFormat="1" applyFont="1" applyFill="1" applyBorder="1" applyAlignment="1" applyProtection="1">
      <alignment horizontal="center"/>
    </xf>
    <xf numFmtId="166" fontId="0" fillId="2" borderId="16" xfId="1" applyNumberFormat="1" applyFont="1" applyFill="1" applyBorder="1" applyAlignment="1" applyProtection="1">
      <alignment horizontal="center"/>
    </xf>
    <xf numFmtId="0" fontId="0" fillId="2" borderId="16" xfId="0" applyFill="1" applyBorder="1" applyAlignment="1" applyProtection="1">
      <alignment horizontal="center"/>
    </xf>
    <xf numFmtId="44" fontId="0" fillId="2" borderId="15" xfId="0" applyNumberFormat="1" applyFill="1" applyBorder="1" applyAlignment="1" applyProtection="1">
      <alignment horizontal="center"/>
    </xf>
    <xf numFmtId="0" fontId="0" fillId="2" borderId="0" xfId="0" applyFill="1" applyAlignment="1" applyProtection="1">
      <alignment horizontal="center" wrapText="1"/>
    </xf>
    <xf numFmtId="0" fontId="0" fillId="2" borderId="14" xfId="0" applyFill="1" applyBorder="1" applyAlignment="1" applyProtection="1">
      <alignment horizontal="center"/>
    </xf>
    <xf numFmtId="0" fontId="0" fillId="2" borderId="0" xfId="0" applyFill="1" applyAlignment="1" applyProtection="1">
      <alignment horizontal="center" vertical="center"/>
    </xf>
    <xf numFmtId="0" fontId="0" fillId="2" borderId="13" xfId="0" applyFill="1" applyBorder="1" applyAlignment="1" applyProtection="1">
      <alignment horizontal="right" vertical="center"/>
    </xf>
    <xf numFmtId="0" fontId="18" fillId="2" borderId="0" xfId="0" applyFont="1" applyFill="1" applyAlignment="1" applyProtection="1">
      <alignment vertical="center"/>
    </xf>
    <xf numFmtId="167" fontId="0" fillId="2" borderId="0" xfId="0" applyNumberFormat="1" applyFill="1" applyAlignment="1" applyProtection="1">
      <alignment vertical="center"/>
    </xf>
    <xf numFmtId="0" fontId="0" fillId="2" borderId="13" xfId="0" applyFill="1" applyBorder="1" applyAlignment="1" applyProtection="1">
      <alignment horizontal="left" vertical="center"/>
    </xf>
    <xf numFmtId="166" fontId="0" fillId="2" borderId="13" xfId="1" applyNumberFormat="1" applyFont="1" applyFill="1" applyBorder="1" applyAlignment="1" applyProtection="1">
      <alignment horizontal="right" vertical="center"/>
    </xf>
    <xf numFmtId="9" fontId="0" fillId="2" borderId="0" xfId="0" applyNumberFormat="1" applyFill="1" applyAlignment="1" applyProtection="1">
      <alignment vertical="center"/>
    </xf>
    <xf numFmtId="44" fontId="0" fillId="2" borderId="0" xfId="0" applyNumberFormat="1" applyFill="1" applyAlignment="1" applyProtection="1">
      <alignment vertical="center"/>
    </xf>
    <xf numFmtId="166" fontId="0" fillId="2" borderId="0" xfId="1" applyNumberFormat="1" applyFont="1" applyFill="1" applyAlignment="1" applyProtection="1">
      <alignment vertical="center"/>
    </xf>
    <xf numFmtId="44" fontId="0" fillId="2" borderId="0" xfId="38" applyNumberFormat="1" applyFont="1" applyFill="1" applyAlignment="1" applyProtection="1">
      <alignment vertical="center"/>
    </xf>
    <xf numFmtId="1" fontId="3" fillId="2" borderId="1" xfId="0" applyNumberFormat="1" applyFont="1" applyFill="1" applyBorder="1" applyAlignment="1" applyProtection="1">
      <alignment vertical="center"/>
    </xf>
    <xf numFmtId="0" fontId="0" fillId="2" borderId="0" xfId="0" applyFill="1" applyAlignment="1" applyProtection="1">
      <alignment horizontal="right" vertical="center"/>
    </xf>
    <xf numFmtId="0" fontId="0" fillId="2" borderId="0" xfId="0" applyFill="1" applyAlignment="1" applyProtection="1">
      <alignment horizontal="left" vertical="center"/>
    </xf>
    <xf numFmtId="166" fontId="0" fillId="2" borderId="0" xfId="0" applyNumberFormat="1" applyFill="1" applyAlignment="1" applyProtection="1">
      <alignment horizontal="center" vertical="center"/>
    </xf>
    <xf numFmtId="166" fontId="0" fillId="2" borderId="0" xfId="0" applyNumberFormat="1" applyFill="1" applyAlignment="1" applyProtection="1">
      <alignment vertical="center"/>
    </xf>
    <xf numFmtId="166" fontId="0" fillId="2" borderId="0" xfId="0" applyNumberFormat="1" applyFill="1" applyAlignment="1" applyProtection="1">
      <alignment horizontal="right" vertical="center"/>
    </xf>
    <xf numFmtId="1" fontId="3" fillId="12" borderId="1" xfId="0" applyNumberFormat="1" applyFont="1" applyFill="1" applyBorder="1" applyAlignment="1" applyProtection="1">
      <alignment vertical="center"/>
    </xf>
    <xf numFmtId="0" fontId="0" fillId="15" borderId="13" xfId="0" applyFill="1" applyBorder="1" applyAlignment="1" applyProtection="1">
      <alignment horizontal="left" vertical="center"/>
      <protection locked="0"/>
    </xf>
    <xf numFmtId="0" fontId="0" fillId="15" borderId="0" xfId="0" applyFill="1" applyAlignment="1" applyProtection="1">
      <alignment horizontal="left" vertical="center" indent="2"/>
      <protection locked="0"/>
    </xf>
    <xf numFmtId="166" fontId="0" fillId="15" borderId="13" xfId="1" applyNumberFormat="1" applyFont="1" applyFill="1" applyBorder="1" applyAlignment="1" applyProtection="1">
      <alignment horizontal="right" vertical="center"/>
      <protection locked="0"/>
    </xf>
    <xf numFmtId="166" fontId="0" fillId="15" borderId="0" xfId="0" applyNumberFormat="1" applyFill="1" applyAlignment="1" applyProtection="1">
      <alignment horizontal="center" vertical="center"/>
      <protection locked="0"/>
    </xf>
    <xf numFmtId="0" fontId="18" fillId="2" borderId="0" xfId="0" applyFont="1" applyFill="1" applyAlignment="1" applyProtection="1">
      <alignment horizontal="center" vertical="center"/>
    </xf>
    <xf numFmtId="0" fontId="18" fillId="2" borderId="0" xfId="0" applyFont="1" applyFill="1" applyAlignment="1" applyProtection="1">
      <alignment horizontal="left" vertical="center"/>
    </xf>
    <xf numFmtId="0" fontId="0" fillId="15" borderId="0" xfId="0" applyFill="1" applyAlignment="1" applyProtection="1">
      <alignment horizontal="left" vertical="center" indent="3"/>
      <protection locked="0"/>
    </xf>
    <xf numFmtId="0" fontId="0" fillId="2" borderId="0" xfId="0" applyFill="1" applyAlignment="1" applyProtection="1">
      <alignment horizontal="center" vertical="center"/>
    </xf>
    <xf numFmtId="167" fontId="0" fillId="15" borderId="15" xfId="0" applyNumberFormat="1" applyFill="1" applyBorder="1" applyAlignment="1" applyProtection="1">
      <alignment horizontal="center" vertical="center"/>
      <protection locked="0"/>
    </xf>
    <xf numFmtId="0" fontId="0" fillId="15" borderId="16" xfId="0" applyFill="1" applyBorder="1" applyAlignment="1" applyProtection="1">
      <alignment horizontal="center" vertical="center"/>
      <protection locked="0"/>
    </xf>
    <xf numFmtId="44" fontId="0" fillId="15" borderId="15" xfId="0" applyNumberFormat="1" applyFill="1" applyBorder="1" applyAlignment="1" applyProtection="1">
      <alignment horizontal="center" vertical="center"/>
      <protection locked="0"/>
    </xf>
    <xf numFmtId="0" fontId="18" fillId="2" borderId="13" xfId="0" applyFont="1" applyFill="1" applyBorder="1" applyAlignment="1" applyProtection="1">
      <alignment horizontal="left" vertical="center"/>
    </xf>
    <xf numFmtId="0" fontId="18" fillId="15" borderId="0" xfId="0" applyFont="1" applyFill="1" applyAlignment="1" applyProtection="1">
      <alignment horizontal="left" vertical="center" indent="3"/>
      <protection locked="0"/>
    </xf>
    <xf numFmtId="166" fontId="0" fillId="15" borderId="15" xfId="1" applyNumberFormat="1" applyFont="1" applyFill="1" applyBorder="1" applyAlignment="1" applyProtection="1">
      <alignment horizontal="left" vertical="center"/>
      <protection locked="0"/>
    </xf>
    <xf numFmtId="166" fontId="0" fillId="15" borderId="16" xfId="1" applyNumberFormat="1" applyFont="1" applyFill="1" applyBorder="1" applyAlignment="1" applyProtection="1">
      <alignment horizontal="left" vertical="center"/>
      <protection locked="0"/>
    </xf>
    <xf numFmtId="166" fontId="0" fillId="15" borderId="15" xfId="1" applyNumberFormat="1" applyFont="1" applyFill="1" applyBorder="1" applyAlignment="1" applyProtection="1">
      <alignment horizontal="center" vertical="center"/>
      <protection locked="0"/>
    </xf>
    <xf numFmtId="166" fontId="0" fillId="15" borderId="16" xfId="1" applyNumberFormat="1" applyFont="1" applyFill="1" applyBorder="1" applyAlignment="1" applyProtection="1">
      <alignment horizontal="center" vertical="center"/>
      <protection locked="0"/>
    </xf>
  </cellXfs>
  <cellStyles count="39">
    <cellStyle name="bsbody" xfId="2" xr:uid="{00000000-0005-0000-0000-000000000000}"/>
    <cellStyle name="bsfoot" xfId="3" xr:uid="{00000000-0005-0000-0000-000001000000}"/>
    <cellStyle name="bshead" xfId="4" xr:uid="{00000000-0005-0000-0000-000002000000}"/>
    <cellStyle name="Comma" xfId="1" builtinId="3"/>
    <cellStyle name="Currency" xfId="38" builtinId="4"/>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GenJour#" xfId="5" xr:uid="{00000000-0005-0000-0000-00000C000000}"/>
    <cellStyle name="GenJour1" xfId="6" xr:uid="{00000000-0005-0000-0000-00000D000000}"/>
    <cellStyle name="GenJour2" xfId="7" xr:uid="{00000000-0005-0000-0000-00000E000000}"/>
    <cellStyle name="GenJourBody" xfId="8" xr:uid="{00000000-0005-0000-0000-00000F000000}"/>
    <cellStyle name="GenJourDate" xfId="9" xr:uid="{00000000-0005-0000-0000-000010000000}"/>
    <cellStyle name="GenJourDes" xfId="10" xr:uid="{00000000-0005-0000-0000-000011000000}"/>
    <cellStyle name="GenJourFoot" xfId="11" xr:uid="{00000000-0005-0000-0000-000012000000}"/>
    <cellStyle name="GenJourHead" xfId="12" xr:uid="{00000000-0005-0000-0000-000013000000}"/>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LedgBody" xfId="13" xr:uid="{00000000-0005-0000-0000-00001B000000}"/>
    <cellStyle name="ledgerwkbk" xfId="14" xr:uid="{00000000-0005-0000-0000-00001C000000}"/>
    <cellStyle name="LedgGreen" xfId="15" xr:uid="{00000000-0005-0000-0000-00001D000000}"/>
    <cellStyle name="LedgHead" xfId="16" xr:uid="{00000000-0005-0000-0000-00001E000000}"/>
    <cellStyle name="LedgSide" xfId="17" xr:uid="{00000000-0005-0000-0000-00001F000000}"/>
    <cellStyle name="LedgYellow" xfId="18" xr:uid="{00000000-0005-0000-0000-000020000000}"/>
    <cellStyle name="Normal" xfId="0" builtinId="0"/>
    <cellStyle name="POA" xfId="19" xr:uid="{00000000-0005-0000-0000-000022000000}"/>
    <cellStyle name="POAanswer" xfId="20" xr:uid="{00000000-0005-0000-0000-000023000000}"/>
    <cellStyle name="POAhead" xfId="21" xr:uid="{00000000-0005-0000-0000-000024000000}"/>
    <cellStyle name="trialbody" xfId="22" xr:uid="{00000000-0005-0000-0000-000025000000}"/>
    <cellStyle name="trialhead" xfId="23" xr:uid="{00000000-0005-0000-0000-000026000000}"/>
  </cellStyles>
  <dxfs count="3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Medium4"/>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egoryschenk/Library/Containers/com.apple.mail/Data/Library/Mail%20Downloads/8F7DF707-A977-474E-9C8F-61614C198CAD/Ch.%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tion"/>
      <sheetName val="Problem"/>
    </sheetNames>
    <sheetDataSet>
      <sheetData sheetId="0"/>
      <sheetData sheetId="1">
        <row r="6">
          <cell r="U6" t="str">
            <v xml:space="preserve"> =E10*G10</v>
          </cell>
        </row>
        <row r="7">
          <cell r="U7" t="str">
            <v xml:space="preserve"> =E10+M10</v>
          </cell>
        </row>
        <row r="8">
          <cell r="U8" t="str">
            <v xml:space="preserve"> =E12*G12</v>
          </cell>
        </row>
        <row r="9">
          <cell r="U9" t="str">
            <v xml:space="preserve"> =E12-M12</v>
          </cell>
        </row>
        <row r="10">
          <cell r="U10" t="str">
            <v xml:space="preserve"> =E13*G13</v>
          </cell>
        </row>
        <row r="11">
          <cell r="U11" t="str">
            <v xml:space="preserve"> =E13-M13</v>
          </cell>
        </row>
        <row r="12">
          <cell r="U12" t="str">
            <v xml:space="preserve"> =E9*G9</v>
          </cell>
        </row>
        <row r="13">
          <cell r="U13" t="str">
            <v xml:space="preserve"> =E9+M9</v>
          </cell>
        </row>
        <row r="14">
          <cell r="U14" t="str">
            <v xml:space="preserve"> =I10-K10</v>
          </cell>
        </row>
        <row r="15">
          <cell r="U15" t="str">
            <v xml:space="preserve"> =I9-K9</v>
          </cell>
        </row>
        <row r="16">
          <cell r="U16" t="str">
            <v xml:space="preserve"> =K12-I12</v>
          </cell>
        </row>
        <row r="17">
          <cell r="U17" t="str">
            <v xml:space="preserve"> =K13-I13</v>
          </cell>
        </row>
        <row r="18">
          <cell r="U18" t="str">
            <v xml:space="preserve"> =O12</v>
          </cell>
        </row>
        <row r="19">
          <cell r="U19" t="str">
            <v xml:space="preserve"> =O9</v>
          </cell>
        </row>
        <row r="24">
          <cell r="U24" t="str">
            <v>Bond Payable</v>
          </cell>
        </row>
        <row r="25">
          <cell r="U25" t="str">
            <v>Cash</v>
          </cell>
        </row>
        <row r="26">
          <cell r="U26" t="str">
            <v>Discount on Bond Payable</v>
          </cell>
        </row>
        <row r="27">
          <cell r="U27" t="str">
            <v>Interest Expense</v>
          </cell>
        </row>
        <row r="28">
          <cell r="U28" t="str">
            <v>Interest Payable</v>
          </cell>
        </row>
        <row r="29">
          <cell r="U29" t="str">
            <v>Premium on Bond Payable</v>
          </cell>
        </row>
        <row r="32">
          <cell r="U32">
            <v>14298.490498563609</v>
          </cell>
        </row>
        <row r="33">
          <cell r="U33">
            <v>22500</v>
          </cell>
        </row>
        <row r="34">
          <cell r="U34">
            <v>23165.504401831917</v>
          </cell>
        </row>
        <row r="35">
          <cell r="U35">
            <v>45000</v>
          </cell>
        </row>
        <row r="36">
          <cell r="U36">
            <v>58500</v>
          </cell>
        </row>
        <row r="37">
          <cell r="U37">
            <v>75938.83997964533</v>
          </cell>
        </row>
        <row r="38">
          <cell r="U38">
            <v>76999.999999999985</v>
          </cell>
        </row>
        <row r="39">
          <cell r="U39">
            <v>85572.327793737873</v>
          </cell>
        </row>
        <row r="40">
          <cell r="U40">
            <v>91298.490498563595</v>
          </cell>
        </row>
        <row r="41">
          <cell r="U41">
            <v>141834.49559816808</v>
          </cell>
        </row>
        <row r="42">
          <cell r="U42">
            <v>165000</v>
          </cell>
        </row>
        <row r="43">
          <cell r="U43">
            <v>1000000</v>
          </cell>
        </row>
        <row r="44">
          <cell r="U44">
            <v>1014427.6722062621</v>
          </cell>
        </row>
        <row r="45">
          <cell r="U45">
            <v>1022500</v>
          </cell>
        </row>
        <row r="46">
          <cell r="U46">
            <v>1100000</v>
          </cell>
        </row>
        <row r="47">
          <cell r="U47">
            <v>1300000</v>
          </cell>
        </row>
        <row r="48">
          <cell r="U48">
            <v>1500000</v>
          </cell>
        </row>
        <row r="49">
          <cell r="U49">
            <v>1575938.8399796453</v>
          </cell>
        </row>
        <row r="53">
          <cell r="U53">
            <v>14298.490498563609</v>
          </cell>
        </row>
        <row r="54">
          <cell r="U54">
            <v>23165.504401831917</v>
          </cell>
        </row>
        <row r="55">
          <cell r="U55">
            <v>76999.999999999985</v>
          </cell>
        </row>
        <row r="56">
          <cell r="U56">
            <v>91298.490498563595</v>
          </cell>
        </row>
        <row r="57">
          <cell r="U57">
            <v>141834.49559816808</v>
          </cell>
        </row>
        <row r="58">
          <cell r="U58">
            <v>165000</v>
          </cell>
        </row>
        <row r="59">
          <cell r="U59">
            <v>1014427.6722062621</v>
          </cell>
        </row>
        <row r="60">
          <cell r="U60">
            <v>1028726.1627048258</v>
          </cell>
        </row>
        <row r="61">
          <cell r="U61">
            <v>1552773.3355778134</v>
          </cell>
        </row>
        <row r="62">
          <cell r="U62">
            <v>1575938.8399796453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4"/>
  <sheetViews>
    <sheetView tabSelected="1" zoomScale="130" zoomScaleNormal="130" zoomScalePageLayoutView="145" workbookViewId="0"/>
  </sheetViews>
  <sheetFormatPr defaultColWidth="0" defaultRowHeight="12.95" customHeight="1" zeroHeight="1"/>
  <cols>
    <col min="1" max="1" width="31" style="3" customWidth="1"/>
    <col min="2" max="2" width="26.42578125" style="3" customWidth="1"/>
    <col min="3" max="16384" width="9.140625" style="3" hidden="1"/>
  </cols>
  <sheetData>
    <row r="1" spans="1:2" ht="21.75" customHeight="1">
      <c r="A1" s="1" t="s">
        <v>0</v>
      </c>
      <c r="B1" s="2" t="s">
        <v>60</v>
      </c>
    </row>
    <row r="2" spans="1:2" ht="21.75" customHeight="1">
      <c r="A2" s="1" t="s">
        <v>1</v>
      </c>
      <c r="B2" s="2">
        <v>1111</v>
      </c>
    </row>
    <row r="3" spans="1:2" ht="21.75" customHeight="1">
      <c r="A3" s="1" t="s">
        <v>2</v>
      </c>
      <c r="B3" s="4">
        <v>42980</v>
      </c>
    </row>
    <row r="4" spans="1:2" ht="12.95" hidden="1" customHeight="1"/>
    <row r="5" spans="1:2" ht="12.95" hidden="1" customHeight="1"/>
    <row r="6" spans="1:2" ht="12.75" hidden="1">
      <c r="A6" s="1" t="s">
        <v>3</v>
      </c>
    </row>
    <row r="7" spans="1:2" ht="12.95" hidden="1" customHeight="1"/>
    <row r="8" spans="1:2" ht="12.75" hidden="1">
      <c r="B8" s="3">
        <f>B2/10000</f>
        <v>0.1111</v>
      </c>
    </row>
    <row r="9" spans="1:2" ht="12.75" hidden="1">
      <c r="B9" s="3">
        <f>TRUNC(B8)</f>
        <v>0</v>
      </c>
    </row>
    <row r="10" spans="1:2" ht="12.75" hidden="1">
      <c r="B10" s="3">
        <f>B2/1000</f>
        <v>1.111</v>
      </c>
    </row>
    <row r="11" spans="1:2" ht="12.75" hidden="1">
      <c r="B11" s="3">
        <f>TRUNC(B10)</f>
        <v>1</v>
      </c>
    </row>
    <row r="12" spans="1:2" ht="12.75" hidden="1">
      <c r="B12" s="3">
        <f>B11-(B9*10)</f>
        <v>1</v>
      </c>
    </row>
    <row r="13" spans="1:2" ht="12.75" hidden="1">
      <c r="B13" s="3">
        <f>B2/100</f>
        <v>11.11</v>
      </c>
    </row>
    <row r="14" spans="1:2" ht="12.75" hidden="1">
      <c r="B14" s="3">
        <f>TRUNC(B13)</f>
        <v>11</v>
      </c>
    </row>
    <row r="15" spans="1:2" ht="12.75" hidden="1">
      <c r="B15" s="3">
        <f>B14-(B11*10)</f>
        <v>1</v>
      </c>
    </row>
    <row r="16" spans="1:2" ht="12.75" hidden="1">
      <c r="B16" s="3">
        <f>B2/10</f>
        <v>111.1</v>
      </c>
    </row>
    <row r="17" spans="1:3" ht="12.75" hidden="1">
      <c r="B17" s="3">
        <f>TRUNC(B16)</f>
        <v>111</v>
      </c>
    </row>
    <row r="18" spans="1:3" ht="12.75" hidden="1">
      <c r="B18" s="3">
        <f>B17-(B14*10)</f>
        <v>1</v>
      </c>
    </row>
    <row r="19" spans="1:3" ht="12.75" hidden="1">
      <c r="B19" s="3">
        <f>B2</f>
        <v>1111</v>
      </c>
    </row>
    <row r="20" spans="1:3" ht="12.75" hidden="1">
      <c r="B20" s="3">
        <f>TRUNC(B19)</f>
        <v>1111</v>
      </c>
    </row>
    <row r="21" spans="1:3" ht="12.75" hidden="1">
      <c r="B21" s="3">
        <f>B20-(B17*10)</f>
        <v>1</v>
      </c>
    </row>
    <row r="22" spans="1:3" ht="12.95" hidden="1" customHeight="1"/>
    <row r="23" spans="1:3" ht="12.75" hidden="1">
      <c r="B23" s="3">
        <f>B9+B12+B15+B18+B21</f>
        <v>4</v>
      </c>
    </row>
    <row r="24" spans="1:3" ht="12.95" hidden="1" customHeight="1"/>
    <row r="25" spans="1:3" ht="12.95" hidden="1" customHeight="1"/>
    <row r="26" spans="1:3" ht="12.75" hidden="1">
      <c r="A26" s="3">
        <v>1</v>
      </c>
      <c r="B26" s="3">
        <v>5</v>
      </c>
      <c r="C26" s="3">
        <f>IF(A26=$B$23,B26,0)</f>
        <v>0</v>
      </c>
    </row>
    <row r="27" spans="1:3" ht="12.75" hidden="1">
      <c r="A27" s="3">
        <v>2</v>
      </c>
      <c r="B27" s="3">
        <v>7</v>
      </c>
      <c r="C27" s="3">
        <f t="shared" ref="C27:C70" si="0">IF(A27=$B$23,B27,0)</f>
        <v>0</v>
      </c>
    </row>
    <row r="28" spans="1:3" ht="12.75" hidden="1">
      <c r="A28" s="3">
        <v>3</v>
      </c>
      <c r="B28" s="3">
        <v>6</v>
      </c>
      <c r="C28" s="3">
        <f t="shared" si="0"/>
        <v>0</v>
      </c>
    </row>
    <row r="29" spans="1:3" ht="12.75" hidden="1">
      <c r="A29" s="3">
        <v>4</v>
      </c>
      <c r="B29" s="3">
        <v>2</v>
      </c>
      <c r="C29" s="3">
        <f t="shared" si="0"/>
        <v>2</v>
      </c>
    </row>
    <row r="30" spans="1:3" ht="12.75" hidden="1">
      <c r="A30" s="3">
        <v>5</v>
      </c>
      <c r="B30" s="3">
        <v>9</v>
      </c>
      <c r="C30" s="3">
        <f t="shared" si="0"/>
        <v>0</v>
      </c>
    </row>
    <row r="31" spans="1:3" ht="12.75" hidden="1">
      <c r="A31" s="3">
        <v>6</v>
      </c>
      <c r="B31" s="3">
        <v>2</v>
      </c>
      <c r="C31" s="3">
        <f t="shared" si="0"/>
        <v>0</v>
      </c>
    </row>
    <row r="32" spans="1:3" ht="12.75" hidden="1">
      <c r="A32" s="3">
        <v>7</v>
      </c>
      <c r="B32" s="3">
        <v>3</v>
      </c>
      <c r="C32" s="3">
        <f t="shared" si="0"/>
        <v>0</v>
      </c>
    </row>
    <row r="33" spans="1:3" ht="12.75" hidden="1">
      <c r="A33" s="3">
        <v>8</v>
      </c>
      <c r="B33" s="3">
        <v>7</v>
      </c>
      <c r="C33" s="3">
        <f t="shared" si="0"/>
        <v>0</v>
      </c>
    </row>
    <row r="34" spans="1:3" ht="12.75" hidden="1">
      <c r="A34" s="3">
        <v>9</v>
      </c>
      <c r="B34" s="3">
        <v>3</v>
      </c>
      <c r="C34" s="3">
        <f t="shared" si="0"/>
        <v>0</v>
      </c>
    </row>
    <row r="35" spans="1:3" ht="12.75" hidden="1">
      <c r="A35" s="3">
        <v>10</v>
      </c>
      <c r="B35" s="3">
        <v>9</v>
      </c>
      <c r="C35" s="3">
        <f t="shared" si="0"/>
        <v>0</v>
      </c>
    </row>
    <row r="36" spans="1:3" ht="12.75" hidden="1">
      <c r="A36" s="3">
        <v>11</v>
      </c>
      <c r="B36" s="3">
        <v>7</v>
      </c>
      <c r="C36" s="3">
        <f t="shared" si="0"/>
        <v>0</v>
      </c>
    </row>
    <row r="37" spans="1:3" ht="12.75" hidden="1">
      <c r="A37" s="3">
        <v>12</v>
      </c>
      <c r="B37" s="3">
        <v>6</v>
      </c>
      <c r="C37" s="3">
        <f t="shared" si="0"/>
        <v>0</v>
      </c>
    </row>
    <row r="38" spans="1:3" ht="12.75" hidden="1">
      <c r="A38" s="3">
        <v>13</v>
      </c>
      <c r="B38" s="3">
        <v>6</v>
      </c>
      <c r="C38" s="3">
        <f t="shared" si="0"/>
        <v>0</v>
      </c>
    </row>
    <row r="39" spans="1:3" ht="12.75" hidden="1">
      <c r="A39" s="3">
        <v>14</v>
      </c>
      <c r="B39" s="3">
        <v>2</v>
      </c>
      <c r="C39" s="3">
        <f t="shared" si="0"/>
        <v>0</v>
      </c>
    </row>
    <row r="40" spans="1:3" ht="12.75" hidden="1">
      <c r="A40" s="3">
        <v>15</v>
      </c>
      <c r="B40" s="3">
        <v>5</v>
      </c>
      <c r="C40" s="3">
        <f t="shared" si="0"/>
        <v>0</v>
      </c>
    </row>
    <row r="41" spans="1:3" ht="12.75" hidden="1">
      <c r="A41" s="3">
        <v>16</v>
      </c>
      <c r="B41" s="3">
        <v>3</v>
      </c>
      <c r="C41" s="3">
        <f t="shared" si="0"/>
        <v>0</v>
      </c>
    </row>
    <row r="42" spans="1:3" ht="12.75" hidden="1">
      <c r="A42" s="3">
        <v>17</v>
      </c>
      <c r="B42" s="3">
        <v>7</v>
      </c>
      <c r="C42" s="3">
        <f t="shared" si="0"/>
        <v>0</v>
      </c>
    </row>
    <row r="43" spans="1:3" ht="12.75" hidden="1">
      <c r="A43" s="3">
        <v>18</v>
      </c>
      <c r="B43" s="3">
        <v>5</v>
      </c>
      <c r="C43" s="3">
        <f t="shared" si="0"/>
        <v>0</v>
      </c>
    </row>
    <row r="44" spans="1:3" ht="12.75" hidden="1">
      <c r="A44" s="3">
        <v>19</v>
      </c>
      <c r="B44" s="3">
        <v>5</v>
      </c>
      <c r="C44" s="3">
        <f t="shared" si="0"/>
        <v>0</v>
      </c>
    </row>
    <row r="45" spans="1:3" ht="12.75" hidden="1">
      <c r="A45" s="3">
        <v>20</v>
      </c>
      <c r="B45" s="3">
        <v>8</v>
      </c>
      <c r="C45" s="3">
        <f t="shared" si="0"/>
        <v>0</v>
      </c>
    </row>
    <row r="46" spans="1:3" ht="12.75" hidden="1">
      <c r="A46" s="3">
        <v>21</v>
      </c>
      <c r="B46" s="3">
        <v>9</v>
      </c>
      <c r="C46" s="3">
        <f t="shared" si="0"/>
        <v>0</v>
      </c>
    </row>
    <row r="47" spans="1:3" ht="12.75" hidden="1">
      <c r="A47" s="3">
        <v>22</v>
      </c>
      <c r="B47" s="3">
        <v>9</v>
      </c>
      <c r="C47" s="3">
        <f t="shared" si="0"/>
        <v>0</v>
      </c>
    </row>
    <row r="48" spans="1:3" ht="12.75" hidden="1">
      <c r="A48" s="3">
        <v>23</v>
      </c>
      <c r="B48" s="3">
        <v>8</v>
      </c>
      <c r="C48" s="3">
        <f t="shared" si="0"/>
        <v>0</v>
      </c>
    </row>
    <row r="49" spans="1:3" ht="12.75" hidden="1">
      <c r="A49" s="3">
        <v>24</v>
      </c>
      <c r="B49" s="3">
        <v>7</v>
      </c>
      <c r="C49" s="3">
        <f t="shared" si="0"/>
        <v>0</v>
      </c>
    </row>
    <row r="50" spans="1:3" ht="12.75" hidden="1">
      <c r="A50" s="3">
        <v>25</v>
      </c>
      <c r="B50" s="3">
        <v>2</v>
      </c>
      <c r="C50" s="3">
        <f t="shared" si="0"/>
        <v>0</v>
      </c>
    </row>
    <row r="51" spans="1:3" ht="12.75" hidden="1">
      <c r="A51" s="3">
        <v>26</v>
      </c>
      <c r="B51" s="3">
        <v>4</v>
      </c>
      <c r="C51" s="3">
        <f t="shared" si="0"/>
        <v>0</v>
      </c>
    </row>
    <row r="52" spans="1:3" ht="12.75" hidden="1">
      <c r="A52" s="3">
        <v>27</v>
      </c>
      <c r="B52" s="3">
        <v>3</v>
      </c>
      <c r="C52" s="3">
        <f t="shared" si="0"/>
        <v>0</v>
      </c>
    </row>
    <row r="53" spans="1:3" ht="12.75" hidden="1">
      <c r="A53" s="3">
        <v>28</v>
      </c>
      <c r="B53" s="3">
        <v>5</v>
      </c>
      <c r="C53" s="3">
        <f t="shared" si="0"/>
        <v>0</v>
      </c>
    </row>
    <row r="54" spans="1:3" ht="12.75" hidden="1">
      <c r="A54" s="3">
        <v>29</v>
      </c>
      <c r="B54" s="3">
        <v>5</v>
      </c>
      <c r="C54" s="3">
        <f t="shared" si="0"/>
        <v>0</v>
      </c>
    </row>
    <row r="55" spans="1:3" ht="12.75" hidden="1">
      <c r="A55" s="3">
        <v>30</v>
      </c>
      <c r="B55" s="3">
        <v>4</v>
      </c>
      <c r="C55" s="3">
        <f>IF(A55=$B$23,B55,0)</f>
        <v>0</v>
      </c>
    </row>
    <row r="56" spans="1:3" ht="12.75" hidden="1">
      <c r="A56" s="3">
        <v>31</v>
      </c>
      <c r="B56" s="3">
        <v>6</v>
      </c>
      <c r="C56" s="3">
        <f t="shared" si="0"/>
        <v>0</v>
      </c>
    </row>
    <row r="57" spans="1:3" ht="12.75" hidden="1">
      <c r="A57" s="3">
        <v>32</v>
      </c>
      <c r="B57" s="3">
        <v>6</v>
      </c>
      <c r="C57" s="3">
        <f t="shared" si="0"/>
        <v>0</v>
      </c>
    </row>
    <row r="58" spans="1:3" ht="12.75" hidden="1">
      <c r="A58" s="3">
        <v>33</v>
      </c>
      <c r="B58" s="3">
        <v>2</v>
      </c>
      <c r="C58" s="3">
        <f t="shared" si="0"/>
        <v>0</v>
      </c>
    </row>
    <row r="59" spans="1:3" ht="12.75" hidden="1">
      <c r="A59" s="3">
        <v>34</v>
      </c>
      <c r="B59" s="3">
        <v>7</v>
      </c>
      <c r="C59" s="3">
        <f t="shared" si="0"/>
        <v>0</v>
      </c>
    </row>
    <row r="60" spans="1:3" ht="12.75" hidden="1">
      <c r="A60" s="3">
        <v>35</v>
      </c>
      <c r="B60" s="3">
        <v>9</v>
      </c>
      <c r="C60" s="3">
        <f t="shared" si="0"/>
        <v>0</v>
      </c>
    </row>
    <row r="61" spans="1:3" ht="12.75" hidden="1">
      <c r="A61" s="3">
        <v>36</v>
      </c>
      <c r="B61" s="3">
        <v>7</v>
      </c>
      <c r="C61" s="3">
        <f t="shared" si="0"/>
        <v>0</v>
      </c>
    </row>
    <row r="62" spans="1:3" ht="12.75" hidden="1">
      <c r="A62" s="3">
        <v>37</v>
      </c>
      <c r="B62" s="3">
        <v>5</v>
      </c>
      <c r="C62" s="3">
        <f t="shared" si="0"/>
        <v>0</v>
      </c>
    </row>
    <row r="63" spans="1:3" ht="12.75" hidden="1">
      <c r="A63" s="3">
        <v>38</v>
      </c>
      <c r="B63" s="3">
        <v>5</v>
      </c>
      <c r="C63" s="3">
        <f t="shared" si="0"/>
        <v>0</v>
      </c>
    </row>
    <row r="64" spans="1:3" ht="12.75" hidden="1">
      <c r="A64" s="3">
        <v>39</v>
      </c>
      <c r="B64" s="3">
        <v>2</v>
      </c>
      <c r="C64" s="3">
        <f t="shared" si="0"/>
        <v>0</v>
      </c>
    </row>
    <row r="65" spans="1:8" ht="12.75" hidden="1">
      <c r="A65" s="3">
        <v>40</v>
      </c>
      <c r="B65" s="3">
        <v>2</v>
      </c>
      <c r="C65" s="3">
        <f t="shared" si="0"/>
        <v>0</v>
      </c>
    </row>
    <row r="66" spans="1:8" ht="12.75" hidden="1">
      <c r="A66" s="3">
        <v>41</v>
      </c>
      <c r="B66" s="3">
        <v>6</v>
      </c>
      <c r="C66" s="3">
        <f t="shared" si="0"/>
        <v>0</v>
      </c>
    </row>
    <row r="67" spans="1:8" ht="12.75" hidden="1">
      <c r="A67" s="3">
        <v>42</v>
      </c>
      <c r="B67" s="3">
        <v>9</v>
      </c>
      <c r="C67" s="3">
        <f t="shared" si="0"/>
        <v>0</v>
      </c>
    </row>
    <row r="68" spans="1:8" ht="12.75" hidden="1">
      <c r="A68" s="3">
        <v>43</v>
      </c>
      <c r="B68" s="3">
        <v>8</v>
      </c>
      <c r="C68" s="3">
        <f t="shared" si="0"/>
        <v>0</v>
      </c>
    </row>
    <row r="69" spans="1:8" ht="12.75" hidden="1">
      <c r="A69" s="3">
        <v>44</v>
      </c>
      <c r="B69" s="3">
        <v>9</v>
      </c>
      <c r="C69" s="3">
        <f t="shared" si="0"/>
        <v>0</v>
      </c>
    </row>
    <row r="70" spans="1:8" ht="12.75" hidden="1">
      <c r="A70" s="3">
        <v>45</v>
      </c>
      <c r="B70" s="3">
        <v>8</v>
      </c>
      <c r="C70" s="3">
        <f t="shared" si="0"/>
        <v>0</v>
      </c>
    </row>
    <row r="71" spans="1:8" ht="12.75" hidden="1">
      <c r="A71" s="3" t="s">
        <v>4</v>
      </c>
      <c r="C71" s="5">
        <f>SUM(C26:C70)</f>
        <v>2</v>
      </c>
      <c r="D71" s="5">
        <f>B23</f>
        <v>4</v>
      </c>
      <c r="E71" s="5">
        <f>B14</f>
        <v>11</v>
      </c>
      <c r="F71" s="5">
        <f>B17</f>
        <v>111</v>
      </c>
      <c r="G71" s="5">
        <f>B19</f>
        <v>1111</v>
      </c>
      <c r="H71" s="5">
        <f>G71/C71</f>
        <v>555.5</v>
      </c>
    </row>
    <row r="72" spans="1:8" ht="12.75" hidden="1">
      <c r="C72" s="5">
        <f>D72/9</f>
        <v>1.1111111111111112</v>
      </c>
      <c r="D72" s="5">
        <f>D71*2.5</f>
        <v>10</v>
      </c>
      <c r="E72" s="5">
        <f>E71*2.5</f>
        <v>27.5</v>
      </c>
      <c r="F72" s="5">
        <f>F71*2.5</f>
        <v>277.5</v>
      </c>
      <c r="G72" s="5">
        <f>G71*2.5</f>
        <v>2777.5</v>
      </c>
      <c r="H72" s="5">
        <f>H71*2.5</f>
        <v>1388.75</v>
      </c>
    </row>
    <row r="73" spans="1:8" ht="12.75" hidden="1">
      <c r="C73" s="5">
        <f>(C72+C71)/2</f>
        <v>1.5555555555555556</v>
      </c>
      <c r="D73" s="5">
        <f>$C$73*D71</f>
        <v>6.2222222222222223</v>
      </c>
      <c r="E73" s="5">
        <f>$C$73*E71</f>
        <v>17.111111111111111</v>
      </c>
      <c r="F73" s="5">
        <f>$C$73*F71</f>
        <v>172.66666666666666</v>
      </c>
      <c r="G73" s="5">
        <f>$C$73*G71</f>
        <v>1728.2222222222222</v>
      </c>
      <c r="H73" s="5">
        <f>$C$73*H71</f>
        <v>864.11111111111109</v>
      </c>
    </row>
    <row r="74" spans="1:8" ht="12.75" hidden="1">
      <c r="C74" s="5">
        <f>SUM(C72:C73)</f>
        <v>2.666666666666667</v>
      </c>
      <c r="D74" s="5">
        <f>$C$74*C71</f>
        <v>5.3333333333333339</v>
      </c>
      <c r="E74" s="5">
        <f>$C$74*D71</f>
        <v>10.666666666666668</v>
      </c>
      <c r="F74" s="5">
        <f>$C$74*E71</f>
        <v>29.333333333333336</v>
      </c>
      <c r="G74" s="5">
        <f>$C$74*F71</f>
        <v>296.00000000000006</v>
      </c>
      <c r="H74" s="5">
        <f>$C$74*G71</f>
        <v>2962.666666666667</v>
      </c>
    </row>
  </sheetData>
  <sheetProtection password="BA06" sheet="1" objects="1" scenarios="1"/>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71"/>
  <sheetViews>
    <sheetView zoomScale="140" zoomScaleNormal="140" zoomScalePageLayoutView="125" workbookViewId="0"/>
  </sheetViews>
  <sheetFormatPr defaultColWidth="0" defaultRowHeight="12.75" zeroHeight="1"/>
  <cols>
    <col min="1" max="1" width="11" style="10" customWidth="1"/>
    <col min="2" max="2" width="10.85546875" style="11" customWidth="1"/>
    <col min="3" max="3" width="5" style="11" customWidth="1"/>
    <col min="4" max="5" width="10.85546875" style="11" customWidth="1"/>
    <col min="6" max="6" width="13.85546875" style="11" customWidth="1"/>
    <col min="7" max="10" width="10.85546875" style="11" customWidth="1"/>
    <col min="11" max="11" width="11" style="11" customWidth="1"/>
    <col min="12" max="13" width="3.42578125" style="11" hidden="1"/>
    <col min="14" max="14" width="66.28515625" style="11" hidden="1"/>
    <col min="15" max="15" width="32.28515625" style="11" hidden="1"/>
    <col min="16" max="16" width="10.85546875" style="10" hidden="1"/>
    <col min="17" max="17" width="10.85546875" style="11" hidden="1"/>
    <col min="18" max="18" width="5" style="11" hidden="1"/>
    <col min="19" max="20" width="10.85546875" style="11" hidden="1"/>
    <col min="21" max="21" width="13.85546875" style="11" hidden="1"/>
    <col min="22" max="26" width="10.85546875" style="11" hidden="1"/>
    <col min="27" max="27" width="32.28515625" style="11" hidden="1"/>
    <col min="28" max="29" width="10.85546875" style="11" hidden="1"/>
    <col min="30" max="30" width="12.28515625" style="11" hidden="1"/>
    <col min="31" max="31" width="10.85546875" style="11" hidden="1"/>
    <col min="32" max="32" width="11.28515625" style="11" hidden="1"/>
    <col min="33" max="33" width="13.28515625" style="11" hidden="1"/>
    <col min="34" max="40" width="0" style="11" hidden="1"/>
    <col min="41" max="16384" width="10.85546875" style="11" hidden="1"/>
  </cols>
  <sheetData>
    <row r="1" spans="1:40" ht="63" customHeight="1">
      <c r="B1" s="43" t="s">
        <v>59</v>
      </c>
      <c r="C1" s="43"/>
      <c r="D1" s="43"/>
      <c r="E1" s="43"/>
      <c r="F1" s="43"/>
      <c r="G1" s="43"/>
      <c r="H1" s="43"/>
      <c r="I1" s="43"/>
      <c r="J1" s="43"/>
      <c r="Q1" s="43" t="s">
        <v>5</v>
      </c>
      <c r="R1" s="43"/>
      <c r="S1" s="43"/>
      <c r="T1" s="43"/>
      <c r="U1" s="43"/>
      <c r="V1" s="43"/>
      <c r="W1" s="43"/>
      <c r="X1" s="43"/>
      <c r="Y1" s="43"/>
      <c r="AD1" s="12"/>
      <c r="AE1" s="12"/>
      <c r="AF1" s="12"/>
    </row>
    <row r="2" spans="1:40"/>
    <row r="3" spans="1:40" ht="80.099999999999994" customHeight="1">
      <c r="B3" s="49" t="str">
        <f>Q3</f>
        <v>The Brindinger Corporation has been a private company for many years operating in the beverage industry.  In 20X1 under the careful watch of the company's controller, Your Name Here, the Brindinger Corporation is preparing to go public in hopes of raising enough capital to take its fruity beverages to consumers outside of the United States.  Below are a number of scenarios related to the Brindinger Corporation IPO and subsequent year's activities.  As the company controller it is your responsibility to prepare the appropriate journal entries for each situation.</v>
      </c>
      <c r="C3" s="49"/>
      <c r="D3" s="49"/>
      <c r="E3" s="49"/>
      <c r="F3" s="49"/>
      <c r="G3" s="49"/>
      <c r="H3" s="49"/>
      <c r="I3" s="49"/>
      <c r="J3" s="49"/>
      <c r="Q3" s="49" t="str">
        <f>CONCATENATE("The Brindinger Corporation has been a private company for many years operating in the beverage industry.  In 20X1 under the careful watch of the company's controller, ",Identification!$B$1,AN5)</f>
        <v>The Brindinger Corporation has been a private company for many years operating in the beverage industry.  In 20X1 under the careful watch of the company's controller, Your Name Here, the Brindinger Corporation is preparing to go public in hopes of raising enough capital to take its fruity beverages to consumers outside of the United States.  Below are a number of scenarios related to the Brindinger Corporation IPO and subsequent year's activities.  As the company controller it is your responsibility to prepare the appropriate journal entries for each situation.</v>
      </c>
      <c r="R3" s="49"/>
      <c r="S3" s="49"/>
      <c r="T3" s="49"/>
      <c r="U3" s="49"/>
      <c r="V3" s="49"/>
      <c r="W3" s="49"/>
      <c r="X3" s="49"/>
      <c r="Y3" s="49"/>
      <c r="AD3" s="13"/>
      <c r="AE3" s="62" t="s">
        <v>16</v>
      </c>
      <c r="AF3" s="62"/>
      <c r="AG3" s="62"/>
    </row>
    <row r="4" spans="1:40" ht="17.100000000000001" customHeight="1">
      <c r="B4" s="13"/>
      <c r="C4" s="13"/>
      <c r="D4" s="13"/>
      <c r="E4" s="13"/>
      <c r="F4" s="13"/>
      <c r="G4" s="13"/>
      <c r="H4" s="13"/>
      <c r="I4" s="13"/>
      <c r="J4" s="13"/>
      <c r="Q4" s="13"/>
      <c r="R4" s="13"/>
      <c r="S4" s="13"/>
      <c r="T4" s="13"/>
      <c r="U4" s="13"/>
      <c r="V4" s="13"/>
      <c r="W4" s="13"/>
      <c r="X4" s="13"/>
      <c r="Y4" s="13"/>
      <c r="AC4" s="14" t="s">
        <v>48</v>
      </c>
      <c r="AD4" s="15" t="s">
        <v>48</v>
      </c>
      <c r="AE4" s="11" t="s">
        <v>8</v>
      </c>
      <c r="AF4" s="13" t="s">
        <v>7</v>
      </c>
      <c r="AG4" s="11" t="s">
        <v>6</v>
      </c>
    </row>
    <row r="5" spans="1:40" ht="38.1" customHeight="1">
      <c r="A5" s="16" t="s">
        <v>9</v>
      </c>
      <c r="B5" s="43" t="str">
        <f>Q5</f>
        <v>The Brindinger Corporation issues 28,000 shares of $2 par value common stock at $5 per share on February 14, 20X1.</v>
      </c>
      <c r="C5" s="43"/>
      <c r="D5" s="43"/>
      <c r="E5" s="43"/>
      <c r="F5" s="43"/>
      <c r="G5" s="43"/>
      <c r="H5" s="43"/>
      <c r="I5" s="43"/>
      <c r="J5" s="43"/>
      <c r="P5" s="16" t="s">
        <v>9</v>
      </c>
      <c r="Q5" s="43" t="str">
        <f>CONCATENATE("The Brindinger Corporation issues ",TEXT(AF5,"#,##0"), " shares of ",TEXT(AG5,"$#,##0"), " par value common stock at ",TEXT(AE5,"$#,##0")," per share on February 14, 20X1.")</f>
        <v>The Brindinger Corporation issues 28,000 shares of $2 par value common stock at $5 per share on February 14, 20X1.</v>
      </c>
      <c r="R5" s="43"/>
      <c r="S5" s="43"/>
      <c r="T5" s="43"/>
      <c r="U5" s="43"/>
      <c r="V5" s="43"/>
      <c r="W5" s="43"/>
      <c r="X5" s="43"/>
      <c r="Y5" s="43"/>
      <c r="AC5" s="17">
        <f>AG5/2</f>
        <v>1</v>
      </c>
      <c r="AD5" s="18">
        <f>AF5*2</f>
        <v>56000</v>
      </c>
      <c r="AE5" s="19">
        <f>ROUND(AG5*2.5,0)</f>
        <v>5</v>
      </c>
      <c r="AF5" s="20">
        <f>AJ11</f>
        <v>28000</v>
      </c>
      <c r="AG5" s="19">
        <f>AH5</f>
        <v>2</v>
      </c>
      <c r="AH5" s="5">
        <f>Identification!C71</f>
        <v>2</v>
      </c>
      <c r="AI5" s="5">
        <f>Identification!D71</f>
        <v>4</v>
      </c>
      <c r="AJ5" s="5">
        <f>Identification!E71</f>
        <v>11</v>
      </c>
      <c r="AK5" s="5">
        <f>Identification!F71</f>
        <v>111</v>
      </c>
      <c r="AL5" s="5">
        <f>Identification!G71</f>
        <v>1111</v>
      </c>
      <c r="AM5" s="5">
        <f>Identification!H71</f>
        <v>555.5</v>
      </c>
      <c r="AN5" s="11" t="s">
        <v>61</v>
      </c>
    </row>
    <row r="6" spans="1:40">
      <c r="AE6" s="39" t="s">
        <v>19</v>
      </c>
      <c r="AF6" s="39"/>
      <c r="AG6" s="63"/>
      <c r="AH6" s="5">
        <f>Identification!C72</f>
        <v>1.1111111111111112</v>
      </c>
      <c r="AI6" s="5">
        <f>Identification!D72</f>
        <v>10</v>
      </c>
      <c r="AJ6" s="6">
        <f>Identification!E72</f>
        <v>27.5</v>
      </c>
      <c r="AK6" s="5">
        <f>Identification!F72</f>
        <v>277.5</v>
      </c>
      <c r="AL6" s="5">
        <f>Identification!G72</f>
        <v>2777.5</v>
      </c>
      <c r="AM6" s="5">
        <f>Identification!H72</f>
        <v>1388.75</v>
      </c>
    </row>
    <row r="7" spans="1:40" ht="21" customHeight="1">
      <c r="B7" s="28" t="s">
        <v>10</v>
      </c>
      <c r="C7" s="29"/>
      <c r="D7" s="36" t="s">
        <v>11</v>
      </c>
      <c r="E7" s="37"/>
      <c r="F7" s="38"/>
      <c r="G7" s="36" t="s">
        <v>12</v>
      </c>
      <c r="H7" s="38"/>
      <c r="I7" s="36" t="s">
        <v>13</v>
      </c>
      <c r="J7" s="38"/>
      <c r="O7" s="21">
        <f>$T$28</f>
        <v>80</v>
      </c>
      <c r="Q7" s="8" t="s">
        <v>10</v>
      </c>
      <c r="R7" s="9"/>
      <c r="S7" s="52" t="s">
        <v>11</v>
      </c>
      <c r="T7" s="53"/>
      <c r="U7" s="51"/>
      <c r="V7" s="52" t="s">
        <v>12</v>
      </c>
      <c r="W7" s="51"/>
      <c r="X7" s="52" t="s">
        <v>13</v>
      </c>
      <c r="Y7" s="51"/>
      <c r="AD7" s="11" t="s">
        <v>22</v>
      </c>
      <c r="AE7" s="11" t="s">
        <v>8</v>
      </c>
      <c r="AF7" s="11" t="s">
        <v>7</v>
      </c>
      <c r="AG7" s="11" t="s">
        <v>6</v>
      </c>
      <c r="AH7" s="5">
        <f>Identification!C73</f>
        <v>1.5555555555555556</v>
      </c>
      <c r="AI7" s="5">
        <f>Identification!D73</f>
        <v>6.2222222222222223</v>
      </c>
      <c r="AJ7" s="5">
        <f>Identification!E73</f>
        <v>17.111111111111111</v>
      </c>
      <c r="AK7" s="5">
        <f>Identification!F73</f>
        <v>172.66666666666666</v>
      </c>
      <c r="AL7" s="5">
        <f>Identification!G73</f>
        <v>1728.2222222222222</v>
      </c>
      <c r="AM7" s="5">
        <f>Identification!H73</f>
        <v>864.11111111111109</v>
      </c>
    </row>
    <row r="8" spans="1:40" s="10" customFormat="1" ht="18" customHeight="1">
      <c r="B8" s="64" t="s">
        <v>14</v>
      </c>
      <c r="D8" s="81"/>
      <c r="E8" s="81"/>
      <c r="F8" s="81"/>
      <c r="G8" s="83"/>
      <c r="H8" s="83"/>
      <c r="I8" s="65"/>
      <c r="J8" s="65"/>
      <c r="N8" s="66"/>
      <c r="O8" s="67">
        <f>$X$19</f>
        <v>1000</v>
      </c>
      <c r="Q8" s="64" t="s">
        <v>14</v>
      </c>
      <c r="S8" s="68" t="s">
        <v>15</v>
      </c>
      <c r="T8" s="68"/>
      <c r="U8" s="68"/>
      <c r="V8" s="69">
        <f>AE5*AF5</f>
        <v>140000</v>
      </c>
      <c r="W8" s="69"/>
      <c r="X8" s="65"/>
      <c r="Y8" s="65"/>
      <c r="AD8" s="70">
        <v>0.08</v>
      </c>
      <c r="AE8" s="71">
        <f>ROUND(AG8*2.25,0)</f>
        <v>2</v>
      </c>
      <c r="AF8" s="72">
        <f>AK12</f>
        <v>1000</v>
      </c>
      <c r="AG8" s="73">
        <f>ROUND(AG5*0.5,0)</f>
        <v>1</v>
      </c>
      <c r="AH8" s="74">
        <f>Identification!C74</f>
        <v>2.666666666666667</v>
      </c>
      <c r="AI8" s="74">
        <f>Identification!D74</f>
        <v>5.3333333333333339</v>
      </c>
      <c r="AJ8" s="74">
        <f>Identification!E74</f>
        <v>10.666666666666668</v>
      </c>
      <c r="AK8" s="74">
        <f>Identification!F74</f>
        <v>29.333333333333336</v>
      </c>
      <c r="AL8" s="74">
        <f>Identification!G74</f>
        <v>296.00000000000006</v>
      </c>
      <c r="AM8" s="74">
        <f>Identification!H74</f>
        <v>2962.666666666667</v>
      </c>
    </row>
    <row r="9" spans="1:40" s="10" customFormat="1" ht="18" customHeight="1">
      <c r="D9" s="82"/>
      <c r="E9" s="82"/>
      <c r="F9" s="82"/>
      <c r="G9" s="75"/>
      <c r="H9" s="75"/>
      <c r="I9" s="84"/>
      <c r="J9" s="84"/>
      <c r="N9" s="10" t="str">
        <f>IF(D9&lt;&gt;$S$8,IF(D9&lt;&gt;"",VLOOKUP(D9,$AA$9:$AB$10,2,FALSE),"N"),"n")</f>
        <v>N</v>
      </c>
      <c r="O9" s="67">
        <f>$X$20</f>
        <v>1000</v>
      </c>
      <c r="S9" s="76" t="s">
        <v>16</v>
      </c>
      <c r="T9" s="76"/>
      <c r="U9" s="76"/>
      <c r="V9" s="75"/>
      <c r="W9" s="75"/>
      <c r="X9" s="77">
        <f>AF5*AG5</f>
        <v>56000</v>
      </c>
      <c r="Y9" s="77"/>
      <c r="AA9" s="10" t="str">
        <f>$S$9</f>
        <v>Common Stock</v>
      </c>
      <c r="AB9" s="78">
        <f>$X$9</f>
        <v>56000</v>
      </c>
      <c r="AD9" s="10" t="s">
        <v>27</v>
      </c>
      <c r="AE9" s="10" t="s">
        <v>26</v>
      </c>
      <c r="AF9" s="10" t="s">
        <v>26</v>
      </c>
      <c r="AG9" s="10" t="s">
        <v>25</v>
      </c>
    </row>
    <row r="10" spans="1:40" s="10" customFormat="1" ht="18" customHeight="1">
      <c r="D10" s="82"/>
      <c r="E10" s="82"/>
      <c r="F10" s="82"/>
      <c r="G10" s="75"/>
      <c r="H10" s="75"/>
      <c r="I10" s="84"/>
      <c r="J10" s="84"/>
      <c r="N10" s="10" t="str">
        <f>IF(D10&lt;&gt;$S$8,IF(D10&lt;&gt;"",VLOOKUP(D10,$AA$9:$AB$10,2,FALSE),"N"),"n")</f>
        <v>N</v>
      </c>
      <c r="O10" s="67">
        <f>$V$18</f>
        <v>2000</v>
      </c>
      <c r="S10" s="76" t="s">
        <v>18</v>
      </c>
      <c r="T10" s="76"/>
      <c r="U10" s="76"/>
      <c r="V10" s="75"/>
      <c r="W10" s="75"/>
      <c r="X10" s="79">
        <f>V8-X9</f>
        <v>84000</v>
      </c>
      <c r="Y10" s="79"/>
      <c r="AA10" s="10" t="str">
        <f>$S$10</f>
        <v>Paid-in Capital in Excess of Par - CS</v>
      </c>
      <c r="AB10" s="78">
        <f>$X$10</f>
        <v>84000</v>
      </c>
      <c r="AD10" s="10" t="s">
        <v>28</v>
      </c>
      <c r="AE10" s="78" t="s">
        <v>24</v>
      </c>
      <c r="AF10" s="10" t="s">
        <v>29</v>
      </c>
      <c r="AG10" s="10" t="s">
        <v>23</v>
      </c>
      <c r="AH10" s="74"/>
      <c r="AI10" s="74"/>
      <c r="AJ10" s="80">
        <f>ROUND(AJ6,0)</f>
        <v>28</v>
      </c>
      <c r="AK10" s="74">
        <f>ROUND(AJ5,0)</f>
        <v>11</v>
      </c>
      <c r="AL10" s="74"/>
      <c r="AM10" s="74"/>
    </row>
    <row r="11" spans="1:40">
      <c r="O11" s="22">
        <f>$T$50</f>
        <v>28000</v>
      </c>
      <c r="AD11" s="24">
        <f>AE11*AF5</f>
        <v>8400</v>
      </c>
      <c r="AE11" s="23">
        <f>ROUND(AG5*0.15,2)</f>
        <v>0.3</v>
      </c>
      <c r="AF11" s="19">
        <f>AG11/AF8</f>
        <v>0.08</v>
      </c>
      <c r="AG11" s="24">
        <f>AD8*AG8*AF8</f>
        <v>80</v>
      </c>
      <c r="AH11" s="5"/>
      <c r="AI11" s="5"/>
      <c r="AJ11" s="5">
        <f>AJ10*1000</f>
        <v>28000</v>
      </c>
      <c r="AK11" s="5">
        <f>AK10*100</f>
        <v>1100</v>
      </c>
      <c r="AL11" s="5"/>
      <c r="AM11" s="5"/>
    </row>
    <row r="12" spans="1:40">
      <c r="D12" s="44" t="str">
        <f>S12</f>
        <v>Issuance of 28,000 shares of $2 par value common stock at $5 per share</v>
      </c>
      <c r="E12" s="45"/>
      <c r="F12" s="45"/>
      <c r="G12" s="45"/>
      <c r="H12" s="45"/>
      <c r="I12" s="46"/>
      <c r="O12" s="21">
        <f>$V$64</f>
        <v>7000</v>
      </c>
      <c r="S12" s="44" t="str">
        <f>CONCATENATE("Issuance of ",TEXT(AF5,"#,##0"), " shares of ",TEXT(AG5,"$#,##0"), " par value common stock at ",TEXT(AE5,"$#,##0")," per share")</f>
        <v>Issuance of 28,000 shares of $2 par value common stock at $5 per share</v>
      </c>
      <c r="T12" s="45"/>
      <c r="U12" s="45"/>
      <c r="V12" s="45"/>
      <c r="W12" s="45"/>
      <c r="X12" s="46"/>
      <c r="AE12" s="14" t="s">
        <v>47</v>
      </c>
      <c r="AF12" s="14" t="s">
        <v>46</v>
      </c>
      <c r="AG12" s="11" t="s">
        <v>30</v>
      </c>
      <c r="AH12" s="5"/>
      <c r="AI12" s="5"/>
      <c r="AJ12" s="5"/>
      <c r="AK12" s="7">
        <f>ROUND(AK11,-3)</f>
        <v>1000</v>
      </c>
      <c r="AL12" s="5"/>
      <c r="AM12" s="5"/>
    </row>
    <row r="13" spans="1:40">
      <c r="O13" s="21">
        <f>$V$28</f>
        <v>8400</v>
      </c>
      <c r="AE13" s="17">
        <f>AE5/2</f>
        <v>2.5</v>
      </c>
      <c r="AF13" s="25">
        <f>ROUND(AD5*0.05,0)</f>
        <v>2800</v>
      </c>
      <c r="AG13" s="21">
        <f>AG11+AD11</f>
        <v>8480</v>
      </c>
      <c r="AH13" s="5"/>
      <c r="AI13" s="5"/>
      <c r="AJ13" s="5"/>
      <c r="AK13" s="5"/>
      <c r="AL13" s="5"/>
      <c r="AM13" s="5"/>
    </row>
    <row r="14" spans="1:40">
      <c r="O14" s="21">
        <f>$V$35</f>
        <v>8480</v>
      </c>
    </row>
    <row r="15" spans="1:40" ht="31.5" customHeight="1">
      <c r="A15" s="16" t="s">
        <v>17</v>
      </c>
      <c r="B15" s="43" t="str">
        <f>Q15</f>
        <v>On July 1, 20X1 the Brindinger Corporation issues 1,000 shares of $1 par value, 8% cummulative, preferred stock at $2 per share.</v>
      </c>
      <c r="C15" s="43"/>
      <c r="D15" s="43"/>
      <c r="E15" s="43"/>
      <c r="F15" s="43"/>
      <c r="G15" s="43"/>
      <c r="H15" s="43"/>
      <c r="I15" s="43"/>
      <c r="J15" s="43"/>
      <c r="O15" s="22">
        <f>$V$50</f>
        <v>56000</v>
      </c>
      <c r="P15" s="16" t="s">
        <v>17</v>
      </c>
      <c r="Q15" s="43" t="str">
        <f>CONCATENATE("On July 1, 20X1 the Brindinger Corporation issues ",TEXT(AF8,"#,##0"), " shares of ",TEXT(AG8,"$#,##0"), " par value, ",TEXT(AD8,"#%")," cummulative, preferred stock at ",TEXT(AE8,"$#,##0")," per share.")</f>
        <v>On July 1, 20X1 the Brindinger Corporation issues 1,000 shares of $1 par value, 8% cummulative, preferred stock at $2 per share.</v>
      </c>
      <c r="R15" s="43"/>
      <c r="S15" s="43"/>
      <c r="T15" s="43"/>
      <c r="U15" s="43"/>
      <c r="V15" s="43"/>
      <c r="W15" s="43"/>
      <c r="X15" s="43"/>
      <c r="Y15" s="43"/>
    </row>
    <row r="16" spans="1:40">
      <c r="O16" s="21">
        <f>$X$9+O9</f>
        <v>57000</v>
      </c>
    </row>
    <row r="17" spans="1:28" ht="21" customHeight="1">
      <c r="B17" s="28" t="s">
        <v>10</v>
      </c>
      <c r="C17" s="29"/>
      <c r="D17" s="36" t="s">
        <v>11</v>
      </c>
      <c r="E17" s="37"/>
      <c r="F17" s="38"/>
      <c r="G17" s="36" t="s">
        <v>12</v>
      </c>
      <c r="H17" s="38"/>
      <c r="I17" s="36" t="s">
        <v>13</v>
      </c>
      <c r="J17" s="38"/>
      <c r="O17" s="21">
        <f>$T$54</f>
        <v>56000</v>
      </c>
      <c r="Q17" s="8" t="s">
        <v>10</v>
      </c>
      <c r="R17" s="9"/>
      <c r="S17" s="52" t="s">
        <v>11</v>
      </c>
      <c r="T17" s="53"/>
      <c r="U17" s="51"/>
      <c r="V17" s="52" t="s">
        <v>12</v>
      </c>
      <c r="W17" s="51"/>
      <c r="X17" s="52" t="s">
        <v>13</v>
      </c>
      <c r="Y17" s="51"/>
    </row>
    <row r="18" spans="1:28" s="10" customFormat="1" ht="21" customHeight="1">
      <c r="B18" s="85" t="s">
        <v>33</v>
      </c>
      <c r="D18" s="81"/>
      <c r="E18" s="81"/>
      <c r="F18" s="81"/>
      <c r="G18" s="83"/>
      <c r="H18" s="83"/>
      <c r="I18" s="65"/>
      <c r="J18" s="65"/>
      <c r="N18" s="66"/>
      <c r="O18" s="67">
        <f>$X$10+O8</f>
        <v>85000</v>
      </c>
      <c r="Q18" s="85" t="s">
        <v>33</v>
      </c>
      <c r="S18" s="68" t="s">
        <v>15</v>
      </c>
      <c r="T18" s="68"/>
      <c r="U18" s="68"/>
      <c r="V18" s="69">
        <f>AF8*AE8</f>
        <v>2000</v>
      </c>
      <c r="W18" s="69"/>
      <c r="X18" s="65"/>
      <c r="Y18" s="65"/>
    </row>
    <row r="19" spans="1:28" s="10" customFormat="1" ht="21" customHeight="1">
      <c r="D19" s="82"/>
      <c r="E19" s="82"/>
      <c r="F19" s="82"/>
      <c r="G19" s="75"/>
      <c r="H19" s="75"/>
      <c r="I19" s="84"/>
      <c r="J19" s="84"/>
      <c r="N19" s="10" t="str">
        <f>IF(D19=$S$18,"no",IF(D19&lt;&gt;"",VLOOKUP(D19,AA18:AB20,2,FALSE),"NO"))</f>
        <v>NO</v>
      </c>
      <c r="O19" s="67">
        <f>$T$56</f>
        <v>84000</v>
      </c>
      <c r="S19" s="76" t="s">
        <v>19</v>
      </c>
      <c r="T19" s="76"/>
      <c r="U19" s="76"/>
      <c r="V19" s="75"/>
      <c r="W19" s="75"/>
      <c r="X19" s="77">
        <f>AF8*AG8</f>
        <v>1000</v>
      </c>
      <c r="Y19" s="77"/>
      <c r="AA19" s="10" t="str">
        <f>$S$19</f>
        <v>Preferred Stock</v>
      </c>
      <c r="AB19" s="78">
        <f>$X$19</f>
        <v>1000</v>
      </c>
    </row>
    <row r="20" spans="1:28" s="10" customFormat="1" ht="21" customHeight="1">
      <c r="D20" s="82"/>
      <c r="E20" s="82"/>
      <c r="F20" s="82"/>
      <c r="G20" s="75"/>
      <c r="H20" s="75"/>
      <c r="I20" s="84"/>
      <c r="J20" s="84"/>
      <c r="N20" s="10" t="str">
        <f>IF(D20&lt;&gt;$S$18,IF(D20&lt;&gt;"",VLOOKUP(D20,$AA$19:$AB$20,2,FALSE),"N"),"n")</f>
        <v>N</v>
      </c>
      <c r="O20" s="67">
        <f>$V$8</f>
        <v>140000</v>
      </c>
      <c r="S20" s="86" t="s">
        <v>62</v>
      </c>
      <c r="T20" s="76"/>
      <c r="U20" s="76"/>
      <c r="V20" s="75"/>
      <c r="W20" s="75"/>
      <c r="X20" s="79">
        <f>V18-X19</f>
        <v>1000</v>
      </c>
      <c r="Y20" s="79"/>
      <c r="AA20" s="10" t="str">
        <f>$S$20</f>
        <v>Paid-in-Capital in Excess of Par - PS</v>
      </c>
      <c r="AB20" s="78">
        <f>$X$20</f>
        <v>1000</v>
      </c>
    </row>
    <row r="21" spans="1:28"/>
    <row r="22" spans="1:28" ht="30.75" customHeight="1">
      <c r="D22" s="30" t="str">
        <f>S22</f>
        <v>Issuance of 1,000 shares of $1 par value, 8% cummulative, preferred stock at $2 per share</v>
      </c>
      <c r="E22" s="31"/>
      <c r="F22" s="31"/>
      <c r="G22" s="31"/>
      <c r="H22" s="31"/>
      <c r="I22" s="32"/>
      <c r="O22" s="11" t="str">
        <f>$S$8</f>
        <v>Cash</v>
      </c>
      <c r="S22" s="30" t="str">
        <f>CONCATENATE("Issuance of ",TEXT(AF8,"#,##0"), " shares of ",TEXT(AG8,"$#,##0"), " par value, ",TEXT(AD8,"#%")," cummulative, preferred stock at ",TEXT(AE8,"$#,##0")," per share")</f>
        <v>Issuance of 1,000 shares of $1 par value, 8% cummulative, preferred stock at $2 per share</v>
      </c>
      <c r="T22" s="31"/>
      <c r="U22" s="31"/>
      <c r="V22" s="31"/>
      <c r="W22" s="31"/>
      <c r="X22" s="32"/>
    </row>
    <row r="23" spans="1:28">
      <c r="O23" s="11" t="str">
        <f>$S$9</f>
        <v>Common Stock</v>
      </c>
    </row>
    <row r="24" spans="1:28">
      <c r="O24" s="11" t="str">
        <f>$S$35</f>
        <v>Dividends</v>
      </c>
    </row>
    <row r="25" spans="1:28" ht="57" customHeight="1">
      <c r="A25" s="16" t="s">
        <v>63</v>
      </c>
      <c r="B25" s="43" t="str">
        <f>Q25</f>
        <v>During 20X1 the Brindinger Corporation did not declare or pay any dividends.  On July 1, 20X2, the company declared dividends in the amount of $8,480.  How much of this dividend will be paid to the preferred stockholders vs the common stockholders.  How much would be the dividend to each preferred and common stockholder?</v>
      </c>
      <c r="C25" s="43"/>
      <c r="D25" s="43"/>
      <c r="E25" s="43"/>
      <c r="F25" s="43"/>
      <c r="G25" s="43"/>
      <c r="H25" s="43"/>
      <c r="I25" s="43"/>
      <c r="J25" s="43"/>
      <c r="O25" s="11" t="str">
        <f>$S$36</f>
        <v>Dividends Payable</v>
      </c>
      <c r="P25" s="16" t="s">
        <v>20</v>
      </c>
      <c r="Q25" s="43" t="str">
        <f>CONCATENATE("During 20X1 the Brindinger Corporation did not declare or pay any dividends.  On July 1, 20X2, the company declared dividends in the amount of ",TEXT(AG13,"$#,###"),".  How much of this dividend will be paid to the preferred stockholders vs the common stockholders.  How much would be the dividend to each preferred and common stockholder?")</f>
        <v>During 20X1 the Brindinger Corporation did not declare or pay any dividends.  On July 1, 20X2, the company declared dividends in the amount of $8,480.  How much of this dividend will be paid to the preferred stockholders vs the common stockholders.  How much would be the dividend to each preferred and common stockholder?</v>
      </c>
      <c r="R25" s="43"/>
      <c r="S25" s="43"/>
      <c r="T25" s="43"/>
      <c r="U25" s="43"/>
      <c r="V25" s="43"/>
      <c r="W25" s="43"/>
      <c r="X25" s="43"/>
      <c r="Y25" s="43"/>
    </row>
    <row r="26" spans="1:28">
      <c r="O26" s="11" t="str">
        <f>$S$20</f>
        <v>Paid-in-Capital in Excess of Par - PS</v>
      </c>
    </row>
    <row r="27" spans="1:28" ht="25.5" customHeight="1">
      <c r="E27" s="36" t="s">
        <v>19</v>
      </c>
      <c r="F27" s="38"/>
      <c r="G27" s="36" t="s">
        <v>16</v>
      </c>
      <c r="H27" s="38"/>
      <c r="O27" s="11" t="str">
        <f>$S$10</f>
        <v>Paid-in Capital in Excess of Par - CS</v>
      </c>
      <c r="T27" s="52" t="s">
        <v>19</v>
      </c>
      <c r="U27" s="51"/>
      <c r="V27" s="52" t="s">
        <v>16</v>
      </c>
      <c r="W27" s="51"/>
    </row>
    <row r="28" spans="1:28" ht="27" customHeight="1">
      <c r="B28" s="26"/>
      <c r="C28" s="40" t="s">
        <v>37</v>
      </c>
      <c r="D28" s="38"/>
      <c r="E28" s="89"/>
      <c r="F28" s="90"/>
      <c r="G28" s="89"/>
      <c r="H28" s="90"/>
      <c r="O28" s="11" t="str">
        <f>$S$19</f>
        <v>Preferred Stock</v>
      </c>
      <c r="Q28" s="26"/>
      <c r="R28" s="50" t="s">
        <v>37</v>
      </c>
      <c r="S28" s="51"/>
      <c r="T28" s="54">
        <f>AG11</f>
        <v>80</v>
      </c>
      <c r="U28" s="60"/>
      <c r="V28" s="54">
        <f>AD11</f>
        <v>8400</v>
      </c>
      <c r="W28" s="60"/>
    </row>
    <row r="29" spans="1:28" ht="5.25" customHeight="1">
      <c r="B29" s="26"/>
      <c r="E29" s="88"/>
      <c r="F29" s="88"/>
      <c r="G29" s="88"/>
      <c r="H29" s="88"/>
      <c r="O29" s="11" t="str">
        <f>$S$64</f>
        <v>Treasury Stock</v>
      </c>
      <c r="Q29" s="26"/>
      <c r="T29" s="39"/>
      <c r="U29" s="39"/>
      <c r="V29" s="39"/>
      <c r="W29" s="39"/>
    </row>
    <row r="30" spans="1:28" ht="27" customHeight="1">
      <c r="B30" s="26"/>
      <c r="C30" s="40" t="s">
        <v>38</v>
      </c>
      <c r="D30" s="38"/>
      <c r="E30" s="91"/>
      <c r="F30" s="90"/>
      <c r="G30" s="91"/>
      <c r="H30" s="90"/>
      <c r="Q30" s="26"/>
      <c r="R30" s="50" t="s">
        <v>38</v>
      </c>
      <c r="S30" s="51"/>
      <c r="T30" s="61">
        <f>AF11</f>
        <v>0.08</v>
      </c>
      <c r="U30" s="60"/>
      <c r="V30" s="61">
        <f>AE11</f>
        <v>0.3</v>
      </c>
      <c r="W30" s="60"/>
    </row>
    <row r="31" spans="1:28">
      <c r="O31" s="17">
        <f>$T$30</f>
        <v>0.08</v>
      </c>
    </row>
    <row r="32" spans="1:28" ht="44.25" customHeight="1">
      <c r="A32" s="27" t="s">
        <v>31</v>
      </c>
      <c r="B32" s="35" t="str">
        <f>Q32</f>
        <v>Assume the dividends were paid on August 15, 20X2 to owners on the date of record of July 15, 20X2.  Prepare the journal entries that would need to be recorded on the day the dividends were declared and paid.</v>
      </c>
      <c r="C32" s="35"/>
      <c r="D32" s="35"/>
      <c r="E32" s="35"/>
      <c r="F32" s="35"/>
      <c r="G32" s="35"/>
      <c r="H32" s="35"/>
      <c r="I32" s="35"/>
      <c r="J32" s="35"/>
      <c r="O32" s="17">
        <f>$V$30</f>
        <v>0.3</v>
      </c>
      <c r="P32" s="27" t="s">
        <v>31</v>
      </c>
      <c r="Q32" s="35" t="s">
        <v>32</v>
      </c>
      <c r="R32" s="35"/>
      <c r="S32" s="35"/>
      <c r="T32" s="35"/>
      <c r="U32" s="35"/>
      <c r="V32" s="35"/>
      <c r="W32" s="35"/>
      <c r="X32" s="35"/>
      <c r="Y32" s="35"/>
    </row>
    <row r="33" spans="1:25">
      <c r="O33" s="17">
        <f>$V$52</f>
        <v>1</v>
      </c>
    </row>
    <row r="34" spans="1:25" ht="21" customHeight="1">
      <c r="B34" s="28" t="s">
        <v>10</v>
      </c>
      <c r="C34" s="29"/>
      <c r="D34" s="36" t="s">
        <v>11</v>
      </c>
      <c r="E34" s="37"/>
      <c r="F34" s="38"/>
      <c r="G34" s="36" t="s">
        <v>12</v>
      </c>
      <c r="H34" s="38"/>
      <c r="I34" s="36" t="s">
        <v>13</v>
      </c>
      <c r="J34" s="38"/>
      <c r="O34" s="17">
        <f>$T$52</f>
        <v>2</v>
      </c>
      <c r="Q34" s="8" t="s">
        <v>10</v>
      </c>
      <c r="R34" s="9"/>
      <c r="S34" s="52" t="s">
        <v>11</v>
      </c>
      <c r="T34" s="53"/>
      <c r="U34" s="51"/>
      <c r="V34" s="52" t="s">
        <v>12</v>
      </c>
      <c r="W34" s="51"/>
      <c r="X34" s="52" t="s">
        <v>13</v>
      </c>
      <c r="Y34" s="51"/>
    </row>
    <row r="35" spans="1:25" s="10" customFormat="1" ht="18" customHeight="1">
      <c r="B35" s="85" t="s">
        <v>34</v>
      </c>
      <c r="D35" s="81"/>
      <c r="E35" s="81"/>
      <c r="F35" s="81"/>
      <c r="G35" s="83"/>
      <c r="H35" s="83"/>
      <c r="I35" s="65"/>
      <c r="J35" s="65"/>
      <c r="Q35" s="85" t="s">
        <v>34</v>
      </c>
      <c r="S35" s="92" t="s">
        <v>21</v>
      </c>
      <c r="T35" s="68"/>
      <c r="U35" s="68"/>
      <c r="V35" s="69">
        <f>AG13</f>
        <v>8480</v>
      </c>
      <c r="W35" s="69"/>
      <c r="X35" s="65"/>
      <c r="Y35" s="65"/>
    </row>
    <row r="36" spans="1:25" s="10" customFormat="1" ht="18" customHeight="1">
      <c r="D36" s="93"/>
      <c r="E36" s="87"/>
      <c r="F36" s="87"/>
      <c r="G36" s="75"/>
      <c r="H36" s="75"/>
      <c r="I36" s="84"/>
      <c r="J36" s="84"/>
      <c r="S36" s="86" t="s">
        <v>35</v>
      </c>
      <c r="T36" s="76"/>
      <c r="U36" s="76"/>
      <c r="V36" s="75"/>
      <c r="W36" s="75"/>
      <c r="X36" s="77">
        <f>AG13</f>
        <v>8480</v>
      </c>
      <c r="Y36" s="77"/>
    </row>
    <row r="37" spans="1:25"/>
    <row r="38" spans="1:25">
      <c r="D38" s="30" t="str">
        <f>S38</f>
        <v>To record declaration of dividends in the amount of $8,480</v>
      </c>
      <c r="E38" s="31"/>
      <c r="F38" s="31"/>
      <c r="G38" s="31"/>
      <c r="H38" s="31"/>
      <c r="I38" s="32"/>
      <c r="S38" s="30" t="str">
        <f>CONCATENATE("To record declaration of dividends in the amount of ",TEXT(AG13,"$#,###"))</f>
        <v>To record declaration of dividends in the amount of $8,480</v>
      </c>
      <c r="T38" s="31"/>
      <c r="U38" s="31"/>
      <c r="V38" s="31"/>
      <c r="W38" s="31"/>
      <c r="X38" s="32"/>
    </row>
    <row r="39" spans="1:25"/>
    <row r="40" spans="1:25" ht="21" customHeight="1">
      <c r="B40" s="28" t="s">
        <v>10</v>
      </c>
      <c r="C40" s="29"/>
      <c r="D40" s="36" t="s">
        <v>11</v>
      </c>
      <c r="E40" s="37"/>
      <c r="F40" s="38"/>
      <c r="G40" s="36" t="s">
        <v>12</v>
      </c>
      <c r="H40" s="38"/>
      <c r="I40" s="36" t="s">
        <v>13</v>
      </c>
      <c r="J40" s="38"/>
      <c r="Q40" s="8" t="s">
        <v>10</v>
      </c>
      <c r="R40" s="9"/>
      <c r="S40" s="52" t="s">
        <v>11</v>
      </c>
      <c r="T40" s="53"/>
      <c r="U40" s="51"/>
      <c r="V40" s="52" t="s">
        <v>12</v>
      </c>
      <c r="W40" s="51"/>
      <c r="X40" s="52" t="s">
        <v>13</v>
      </c>
      <c r="Y40" s="51"/>
    </row>
    <row r="41" spans="1:25" s="10" customFormat="1" ht="18" customHeight="1">
      <c r="B41" s="85" t="s">
        <v>36</v>
      </c>
      <c r="D41" s="81"/>
      <c r="E41" s="81"/>
      <c r="F41" s="81"/>
      <c r="G41" s="83"/>
      <c r="H41" s="83"/>
      <c r="I41" s="65"/>
      <c r="J41" s="65"/>
      <c r="Q41" s="85" t="s">
        <v>36</v>
      </c>
      <c r="S41" s="92" t="s">
        <v>35</v>
      </c>
      <c r="T41" s="68"/>
      <c r="U41" s="68"/>
      <c r="V41" s="69">
        <f>V35</f>
        <v>8480</v>
      </c>
      <c r="W41" s="69"/>
      <c r="X41" s="65"/>
      <c r="Y41" s="65"/>
    </row>
    <row r="42" spans="1:25" s="10" customFormat="1" ht="18" customHeight="1">
      <c r="D42" s="93"/>
      <c r="E42" s="87"/>
      <c r="F42" s="87"/>
      <c r="G42" s="75"/>
      <c r="H42" s="75"/>
      <c r="I42" s="84"/>
      <c r="J42" s="84"/>
      <c r="S42" s="86" t="s">
        <v>15</v>
      </c>
      <c r="T42" s="76"/>
      <c r="U42" s="76"/>
      <c r="V42" s="75"/>
      <c r="W42" s="75"/>
      <c r="X42" s="77">
        <f>X36</f>
        <v>8480</v>
      </c>
      <c r="Y42" s="77"/>
    </row>
    <row r="43" spans="1:25"/>
    <row r="44" spans="1:25">
      <c r="D44" s="30" t="str">
        <f>S44</f>
        <v>To record payment of dividends declared in the amount of $8,480</v>
      </c>
      <c r="E44" s="31"/>
      <c r="F44" s="31"/>
      <c r="G44" s="31"/>
      <c r="H44" s="31"/>
      <c r="I44" s="32"/>
      <c r="S44" s="30" t="str">
        <f>CONCATENATE("To record payment of dividends declared in the amount of ",TEXT(AG13,"$#,###"))</f>
        <v>To record payment of dividends declared in the amount of $8,480</v>
      </c>
      <c r="T44" s="31"/>
      <c r="U44" s="31"/>
      <c r="V44" s="31"/>
      <c r="W44" s="31"/>
      <c r="X44" s="32"/>
    </row>
    <row r="45" spans="1:25"/>
    <row r="46" spans="1:25"/>
    <row r="47" spans="1:25" ht="39.75" customHeight="1">
      <c r="A47" s="27" t="s">
        <v>39</v>
      </c>
      <c r="B47" s="43" t="str">
        <f>Q47</f>
        <v>On August 1, 20X3 the Brindinger Corporation decided to do a 2-for-1 stock split on its common stock.  Assume all shares issued are still outstanding.</v>
      </c>
      <c r="C47" s="43"/>
      <c r="D47" s="43"/>
      <c r="E47" s="43"/>
      <c r="F47" s="43"/>
      <c r="G47" s="43"/>
      <c r="H47" s="43"/>
      <c r="I47" s="43"/>
      <c r="J47" s="43"/>
      <c r="P47" s="27" t="s">
        <v>39</v>
      </c>
      <c r="Q47" s="43" t="str">
        <f>CONCATENATE("On August 1, 20X3 the Brindinger Corporation decided to do a 2-for-1 stock split on its common stock.  Assume all shares issued are still outstanding.")</f>
        <v>On August 1, 20X3 the Brindinger Corporation decided to do a 2-for-1 stock split on its common stock.  Assume all shares issued are still outstanding.</v>
      </c>
      <c r="R47" s="43"/>
      <c r="S47" s="43"/>
      <c r="T47" s="43"/>
      <c r="U47" s="43"/>
      <c r="V47" s="43"/>
      <c r="W47" s="43"/>
      <c r="X47" s="43"/>
      <c r="Y47" s="43"/>
    </row>
    <row r="48" spans="1:25"/>
    <row r="49" spans="1:25" ht="25.5" customHeight="1">
      <c r="E49" s="40" t="s">
        <v>41</v>
      </c>
      <c r="F49" s="38"/>
      <c r="G49" s="40" t="s">
        <v>40</v>
      </c>
      <c r="H49" s="38"/>
      <c r="T49" s="50" t="s">
        <v>41</v>
      </c>
      <c r="U49" s="51"/>
      <c r="V49" s="50" t="s">
        <v>40</v>
      </c>
      <c r="W49" s="51"/>
    </row>
    <row r="50" spans="1:25" ht="41.25" customHeight="1">
      <c r="B50" s="40" t="s">
        <v>42</v>
      </c>
      <c r="C50" s="41"/>
      <c r="D50" s="42"/>
      <c r="E50" s="94"/>
      <c r="F50" s="95"/>
      <c r="G50" s="96"/>
      <c r="H50" s="97"/>
      <c r="Q50" s="50" t="s">
        <v>42</v>
      </c>
      <c r="R50" s="56"/>
      <c r="S50" s="57"/>
      <c r="T50" s="58">
        <f>AF5</f>
        <v>28000</v>
      </c>
      <c r="U50" s="59"/>
      <c r="V50" s="54">
        <f>T50*2</f>
        <v>56000</v>
      </c>
      <c r="W50" s="60"/>
    </row>
    <row r="51" spans="1:25" ht="5.25" customHeight="1">
      <c r="B51" s="26"/>
      <c r="E51" s="39"/>
      <c r="F51" s="39"/>
      <c r="G51" s="39"/>
      <c r="H51" s="39"/>
      <c r="Q51" s="26"/>
      <c r="T51" s="39"/>
      <c r="U51" s="39"/>
      <c r="V51" s="39"/>
      <c r="W51" s="39"/>
    </row>
    <row r="52" spans="1:25" ht="27" customHeight="1">
      <c r="B52" s="40" t="s">
        <v>6</v>
      </c>
      <c r="C52" s="41"/>
      <c r="D52" s="42"/>
      <c r="E52" s="91"/>
      <c r="F52" s="90"/>
      <c r="G52" s="91"/>
      <c r="H52" s="90"/>
      <c r="Q52" s="50" t="s">
        <v>6</v>
      </c>
      <c r="R52" s="56"/>
      <c r="S52" s="57"/>
      <c r="T52" s="61">
        <f>AG5</f>
        <v>2</v>
      </c>
      <c r="U52" s="60"/>
      <c r="V52" s="61">
        <f>T52/2</f>
        <v>1</v>
      </c>
      <c r="W52" s="60"/>
    </row>
    <row r="53" spans="1:25" ht="5.25" customHeight="1">
      <c r="B53" s="26"/>
      <c r="E53" s="39"/>
      <c r="F53" s="39"/>
      <c r="G53" s="39"/>
      <c r="H53" s="39"/>
      <c r="Q53" s="26"/>
      <c r="T53" s="39"/>
      <c r="U53" s="39"/>
      <c r="V53" s="39"/>
      <c r="W53" s="39"/>
    </row>
    <row r="54" spans="1:25" ht="27" customHeight="1">
      <c r="B54" s="40" t="s">
        <v>43</v>
      </c>
      <c r="C54" s="41"/>
      <c r="D54" s="42"/>
      <c r="E54" s="89"/>
      <c r="F54" s="90"/>
      <c r="G54" s="89"/>
      <c r="H54" s="90"/>
      <c r="Q54" s="50" t="s">
        <v>43</v>
      </c>
      <c r="R54" s="56"/>
      <c r="S54" s="57"/>
      <c r="T54" s="54">
        <f>X9</f>
        <v>56000</v>
      </c>
      <c r="U54" s="55"/>
      <c r="V54" s="54">
        <f>T54</f>
        <v>56000</v>
      </c>
      <c r="W54" s="55"/>
    </row>
    <row r="55" spans="1:25" ht="5.25" customHeight="1">
      <c r="B55" s="26"/>
      <c r="E55" s="39"/>
      <c r="F55" s="39"/>
      <c r="G55" s="39"/>
      <c r="H55" s="39"/>
      <c r="Q55" s="26"/>
      <c r="T55" s="39"/>
      <c r="U55" s="39"/>
      <c r="V55" s="39"/>
      <c r="W55" s="39"/>
    </row>
    <row r="56" spans="1:25" ht="27" customHeight="1">
      <c r="B56" s="40" t="s">
        <v>44</v>
      </c>
      <c r="C56" s="41"/>
      <c r="D56" s="42"/>
      <c r="E56" s="89"/>
      <c r="F56" s="90"/>
      <c r="G56" s="89"/>
      <c r="H56" s="90"/>
      <c r="Q56" s="50" t="s">
        <v>44</v>
      </c>
      <c r="R56" s="56"/>
      <c r="S56" s="57"/>
      <c r="T56" s="54">
        <f>X10</f>
        <v>84000</v>
      </c>
      <c r="U56" s="55"/>
      <c r="V56" s="54">
        <f>T56</f>
        <v>84000</v>
      </c>
      <c r="W56" s="55"/>
    </row>
    <row r="57" spans="1:25">
      <c r="A57" s="11"/>
      <c r="P57" s="11"/>
    </row>
    <row r="58" spans="1:25">
      <c r="A58" s="11"/>
      <c r="P58" s="11"/>
    </row>
    <row r="59" spans="1:25">
      <c r="A59" s="11"/>
      <c r="P59" s="11"/>
    </row>
    <row r="60" spans="1:25">
      <c r="A60" s="11"/>
      <c r="K60" s="14" t="s">
        <v>54</v>
      </c>
      <c r="P60" s="11"/>
    </row>
    <row r="61" spans="1:25" ht="28.5" customHeight="1">
      <c r="A61" s="27" t="s">
        <v>64</v>
      </c>
      <c r="B61" s="35" t="str">
        <f>Q61</f>
        <v>On October 11, 20X3 the Brindinger Corporation wanted to boost the stock price of its common stock by buying back 2,800 shares at the market price of $2.50 per share.</v>
      </c>
      <c r="C61" s="35"/>
      <c r="D61" s="35"/>
      <c r="E61" s="35"/>
      <c r="F61" s="35"/>
      <c r="G61" s="35"/>
      <c r="H61" s="35"/>
      <c r="I61" s="35"/>
      <c r="J61" s="35"/>
      <c r="P61" s="27" t="s">
        <v>45</v>
      </c>
      <c r="Q61" s="35" t="str">
        <f>CONCATENATE("On October 11, 20X3 the Brindinger Corporation wanted to boost the stock price of its common stock by buying back ",TEXT(AF13,"#,###")," shares at the market price of ",TEXT(AE13,"$#,###.#0")," per share.")</f>
        <v>On October 11, 20X3 the Brindinger Corporation wanted to boost the stock price of its common stock by buying back 2,800 shares at the market price of $2.50 per share.</v>
      </c>
      <c r="R61" s="35"/>
      <c r="S61" s="35"/>
      <c r="T61" s="35"/>
      <c r="U61" s="35"/>
      <c r="V61" s="35"/>
      <c r="W61" s="35"/>
      <c r="X61" s="35"/>
      <c r="Y61" s="35"/>
    </row>
    <row r="62" spans="1:25"/>
    <row r="63" spans="1:25" ht="21" customHeight="1">
      <c r="B63" s="28" t="s">
        <v>10</v>
      </c>
      <c r="C63" s="29"/>
      <c r="D63" s="36" t="s">
        <v>11</v>
      </c>
      <c r="E63" s="37"/>
      <c r="F63" s="38"/>
      <c r="G63" s="36" t="s">
        <v>12</v>
      </c>
      <c r="H63" s="38"/>
      <c r="I63" s="36" t="s">
        <v>13</v>
      </c>
      <c r="J63" s="38"/>
      <c r="Q63" s="8" t="s">
        <v>10</v>
      </c>
      <c r="R63" s="9"/>
      <c r="S63" s="52" t="s">
        <v>11</v>
      </c>
      <c r="T63" s="53"/>
      <c r="U63" s="51"/>
      <c r="V63" s="52" t="s">
        <v>12</v>
      </c>
      <c r="W63" s="51"/>
      <c r="X63" s="52" t="s">
        <v>13</v>
      </c>
      <c r="Y63" s="51"/>
    </row>
    <row r="64" spans="1:25" s="10" customFormat="1" ht="18" customHeight="1">
      <c r="B64" s="85" t="s">
        <v>53</v>
      </c>
      <c r="D64" s="81"/>
      <c r="E64" s="81"/>
      <c r="F64" s="81"/>
      <c r="G64" s="83"/>
      <c r="H64" s="83"/>
      <c r="I64" s="65"/>
      <c r="J64" s="65"/>
      <c r="O64" s="66" t="s">
        <v>55</v>
      </c>
      <c r="Q64" s="85" t="s">
        <v>34</v>
      </c>
      <c r="S64" s="92" t="s">
        <v>49</v>
      </c>
      <c r="T64" s="68"/>
      <c r="U64" s="68"/>
      <c r="V64" s="69">
        <f>AF13*AE13</f>
        <v>7000</v>
      </c>
      <c r="W64" s="69"/>
      <c r="X64" s="65"/>
      <c r="Y64" s="65"/>
    </row>
    <row r="65" spans="1:25" s="10" customFormat="1" ht="18" customHeight="1">
      <c r="D65" s="93"/>
      <c r="E65" s="87"/>
      <c r="F65" s="87"/>
      <c r="G65" s="75"/>
      <c r="H65" s="75"/>
      <c r="I65" s="84"/>
      <c r="J65" s="84"/>
      <c r="O65" s="66" t="s">
        <v>58</v>
      </c>
      <c r="S65" s="86" t="s">
        <v>15</v>
      </c>
      <c r="T65" s="76"/>
      <c r="U65" s="76"/>
      <c r="V65" s="75"/>
      <c r="W65" s="75"/>
      <c r="X65" s="77">
        <f>AF13*AE13</f>
        <v>7000</v>
      </c>
      <c r="Y65" s="77"/>
    </row>
    <row r="66" spans="1:25">
      <c r="O66" s="11" t="str">
        <f>$V$69</f>
        <v>Contra Equity</v>
      </c>
    </row>
    <row r="67" spans="1:25">
      <c r="D67" s="30" t="str">
        <f>S67</f>
        <v>To record acquisition of 2,800 treasury shares at $3 per share</v>
      </c>
      <c r="E67" s="31"/>
      <c r="F67" s="31"/>
      <c r="G67" s="31"/>
      <c r="H67" s="31"/>
      <c r="I67" s="32"/>
      <c r="O67" s="14" t="s">
        <v>57</v>
      </c>
      <c r="S67" s="30" t="str">
        <f>CONCATENATE("To record acquisition of ",TEXT(AF13,"#,###")," treasury shares at ",TEXT(AE13,"$#,###")," per share")</f>
        <v>To record acquisition of 2,800 treasury shares at $3 per share</v>
      </c>
      <c r="T67" s="31"/>
      <c r="U67" s="31"/>
      <c r="V67" s="31"/>
      <c r="W67" s="31"/>
      <c r="X67" s="32"/>
    </row>
    <row r="68" spans="1:25" ht="13.5" thickBot="1">
      <c r="O68" s="14" t="s">
        <v>56</v>
      </c>
    </row>
    <row r="69" spans="1:25" ht="17.25" customHeight="1" thickBot="1">
      <c r="A69" s="27" t="s">
        <v>50</v>
      </c>
      <c r="B69" s="33" t="s">
        <v>51</v>
      </c>
      <c r="C69" s="33"/>
      <c r="D69" s="33"/>
      <c r="E69" s="33"/>
      <c r="F69" s="33"/>
      <c r="G69" s="34"/>
      <c r="H69" s="34"/>
      <c r="P69" s="27" t="s">
        <v>50</v>
      </c>
      <c r="Q69" s="33" t="s">
        <v>51</v>
      </c>
      <c r="R69" s="33"/>
      <c r="S69" s="33"/>
      <c r="T69" s="33"/>
      <c r="U69" s="33"/>
      <c r="V69" s="47" t="s">
        <v>52</v>
      </c>
      <c r="W69" s="48"/>
    </row>
    <row r="70" spans="1:25"/>
    <row r="71" spans="1:25"/>
  </sheetData>
  <sheetProtection algorithmName="SHA-512" hashValue="R49wu0sYCTNCK/elJBNQfTGJyVTgNhyZ81UhTYuDVj2oB0rKm+rzsP740SdYu5lkJZdpGUniSgxQq9nojUMGoA==" saltValue="xAMbm7W6W4tx4wSCuJoQLg==" spinCount="100000" sheet="1" objects="1" scenarios="1"/>
  <sortState ref="O65:O68">
    <sortCondition ref="O64"/>
  </sortState>
  <mergeCells count="194">
    <mergeCell ref="Q1:Y1"/>
    <mergeCell ref="Q5:Y5"/>
    <mergeCell ref="V9:W9"/>
    <mergeCell ref="X8:Y8"/>
    <mergeCell ref="X9:Y9"/>
    <mergeCell ref="S10:U10"/>
    <mergeCell ref="X10:Y10"/>
    <mergeCell ref="V10:W10"/>
    <mergeCell ref="S12:X12"/>
    <mergeCell ref="S7:U7"/>
    <mergeCell ref="V7:W7"/>
    <mergeCell ref="X7:Y7"/>
    <mergeCell ref="S8:U8"/>
    <mergeCell ref="S9:U9"/>
    <mergeCell ref="V8:W8"/>
    <mergeCell ref="S22:X22"/>
    <mergeCell ref="AE3:AG3"/>
    <mergeCell ref="AE6:AG6"/>
    <mergeCell ref="Q25:Y25"/>
    <mergeCell ref="S19:U19"/>
    <mergeCell ref="V19:W19"/>
    <mergeCell ref="X19:Y19"/>
    <mergeCell ref="S20:U20"/>
    <mergeCell ref="V20:W20"/>
    <mergeCell ref="X20:Y20"/>
    <mergeCell ref="Q15:Y15"/>
    <mergeCell ref="S17:U17"/>
    <mergeCell ref="V17:W17"/>
    <mergeCell ref="X17:Y17"/>
    <mergeCell ref="S18:U18"/>
    <mergeCell ref="V18:W18"/>
    <mergeCell ref="X18:Y18"/>
    <mergeCell ref="Q3:Y3"/>
    <mergeCell ref="V27:W27"/>
    <mergeCell ref="T27:U27"/>
    <mergeCell ref="T28:U28"/>
    <mergeCell ref="T29:U29"/>
    <mergeCell ref="T30:U30"/>
    <mergeCell ref="V30:W30"/>
    <mergeCell ref="V29:W29"/>
    <mergeCell ref="V28:W28"/>
    <mergeCell ref="R28:S28"/>
    <mergeCell ref="S41:U41"/>
    <mergeCell ref="V41:W41"/>
    <mergeCell ref="X41:Y41"/>
    <mergeCell ref="S42:U42"/>
    <mergeCell ref="V42:W42"/>
    <mergeCell ref="X42:Y42"/>
    <mergeCell ref="R30:S30"/>
    <mergeCell ref="Q32:Y32"/>
    <mergeCell ref="S40:U40"/>
    <mergeCell ref="V40:W40"/>
    <mergeCell ref="X40:Y40"/>
    <mergeCell ref="S38:X38"/>
    <mergeCell ref="S36:U36"/>
    <mergeCell ref="V36:W36"/>
    <mergeCell ref="X36:Y36"/>
    <mergeCell ref="S34:U34"/>
    <mergeCell ref="V34:W34"/>
    <mergeCell ref="X34:Y34"/>
    <mergeCell ref="S35:U35"/>
    <mergeCell ref="V35:W35"/>
    <mergeCell ref="X35:Y35"/>
    <mergeCell ref="S44:X44"/>
    <mergeCell ref="Q61:Y61"/>
    <mergeCell ref="S63:U63"/>
    <mergeCell ref="V63:W63"/>
    <mergeCell ref="X63:Y63"/>
    <mergeCell ref="V54:W54"/>
    <mergeCell ref="T55:U55"/>
    <mergeCell ref="V55:W55"/>
    <mergeCell ref="T56:U56"/>
    <mergeCell ref="V56:W56"/>
    <mergeCell ref="Q50:S50"/>
    <mergeCell ref="Q52:S52"/>
    <mergeCell ref="Q54:S54"/>
    <mergeCell ref="Q56:S56"/>
    <mergeCell ref="T53:U53"/>
    <mergeCell ref="V53:W53"/>
    <mergeCell ref="T54:U54"/>
    <mergeCell ref="T50:U50"/>
    <mergeCell ref="V50:W50"/>
    <mergeCell ref="T51:U51"/>
    <mergeCell ref="V51:W51"/>
    <mergeCell ref="T52:U52"/>
    <mergeCell ref="V52:W52"/>
    <mergeCell ref="S64:U64"/>
    <mergeCell ref="V64:W64"/>
    <mergeCell ref="X64:Y64"/>
    <mergeCell ref="S65:U65"/>
    <mergeCell ref="V65:W65"/>
    <mergeCell ref="X65:Y65"/>
    <mergeCell ref="Q69:U69"/>
    <mergeCell ref="V69:W69"/>
    <mergeCell ref="B1:J1"/>
    <mergeCell ref="B3:J3"/>
    <mergeCell ref="B5:J5"/>
    <mergeCell ref="D7:F7"/>
    <mergeCell ref="G7:H7"/>
    <mergeCell ref="I7:J7"/>
    <mergeCell ref="D8:F8"/>
    <mergeCell ref="G8:H8"/>
    <mergeCell ref="I8:J8"/>
    <mergeCell ref="D9:F9"/>
    <mergeCell ref="G9:H9"/>
    <mergeCell ref="I9:J9"/>
    <mergeCell ref="S67:X67"/>
    <mergeCell ref="Q47:Y47"/>
    <mergeCell ref="T49:U49"/>
    <mergeCell ref="V49:W49"/>
    <mergeCell ref="D17:F17"/>
    <mergeCell ref="G17:H17"/>
    <mergeCell ref="I17:J17"/>
    <mergeCell ref="D18:F18"/>
    <mergeCell ref="G18:H18"/>
    <mergeCell ref="I18:J18"/>
    <mergeCell ref="D10:F10"/>
    <mergeCell ref="G10:H10"/>
    <mergeCell ref="I10:J10"/>
    <mergeCell ref="D12:I12"/>
    <mergeCell ref="B15:J15"/>
    <mergeCell ref="D22:I22"/>
    <mergeCell ref="B25:J25"/>
    <mergeCell ref="E27:F27"/>
    <mergeCell ref="G27:H27"/>
    <mergeCell ref="C28:D28"/>
    <mergeCell ref="E28:F28"/>
    <mergeCell ref="G28:H28"/>
    <mergeCell ref="D19:F19"/>
    <mergeCell ref="G19:H19"/>
    <mergeCell ref="I19:J19"/>
    <mergeCell ref="D20:F20"/>
    <mergeCell ref="G20:H20"/>
    <mergeCell ref="I20:J20"/>
    <mergeCell ref="B32:J32"/>
    <mergeCell ref="D34:F34"/>
    <mergeCell ref="G34:H34"/>
    <mergeCell ref="I34:J34"/>
    <mergeCell ref="D35:F35"/>
    <mergeCell ref="G35:H35"/>
    <mergeCell ref="I35:J35"/>
    <mergeCell ref="E29:F29"/>
    <mergeCell ref="G29:H29"/>
    <mergeCell ref="C30:D30"/>
    <mergeCell ref="E30:F30"/>
    <mergeCell ref="G30:H30"/>
    <mergeCell ref="D41:F41"/>
    <mergeCell ref="G41:H41"/>
    <mergeCell ref="I41:J41"/>
    <mergeCell ref="D42:F42"/>
    <mergeCell ref="G42:H42"/>
    <mergeCell ref="I42:J42"/>
    <mergeCell ref="D36:F36"/>
    <mergeCell ref="G36:H36"/>
    <mergeCell ref="I36:J36"/>
    <mergeCell ref="D38:I38"/>
    <mergeCell ref="D40:F40"/>
    <mergeCell ref="G40:H40"/>
    <mergeCell ref="I40:J40"/>
    <mergeCell ref="E51:F51"/>
    <mergeCell ref="G51:H51"/>
    <mergeCell ref="B52:D52"/>
    <mergeCell ref="E52:F52"/>
    <mergeCell ref="G52:H52"/>
    <mergeCell ref="D44:I44"/>
    <mergeCell ref="B47:J47"/>
    <mergeCell ref="E49:F49"/>
    <mergeCell ref="G49:H49"/>
    <mergeCell ref="B50:D50"/>
    <mergeCell ref="E50:F50"/>
    <mergeCell ref="G50:H50"/>
    <mergeCell ref="E55:F55"/>
    <mergeCell ref="G55:H55"/>
    <mergeCell ref="B56:D56"/>
    <mergeCell ref="E56:F56"/>
    <mergeCell ref="G56:H56"/>
    <mergeCell ref="E53:F53"/>
    <mergeCell ref="G53:H53"/>
    <mergeCell ref="B54:D54"/>
    <mergeCell ref="E54:F54"/>
    <mergeCell ref="G54:H54"/>
    <mergeCell ref="D65:F65"/>
    <mergeCell ref="G65:H65"/>
    <mergeCell ref="I65:J65"/>
    <mergeCell ref="D67:I67"/>
    <mergeCell ref="B69:F69"/>
    <mergeCell ref="G69:H69"/>
    <mergeCell ref="B61:J61"/>
    <mergeCell ref="D63:F63"/>
    <mergeCell ref="G63:H63"/>
    <mergeCell ref="I63:J63"/>
    <mergeCell ref="D64:F64"/>
    <mergeCell ref="G64:H64"/>
    <mergeCell ref="I64:J64"/>
  </mergeCells>
  <conditionalFormatting sqref="D8:F8">
    <cfRule type="cellIs" dxfId="36" priority="38" operator="notEqual">
      <formula>S8</formula>
    </cfRule>
  </conditionalFormatting>
  <conditionalFormatting sqref="D18:F18">
    <cfRule type="cellIs" dxfId="35" priority="37" operator="notEqual">
      <formula>S18</formula>
    </cfRule>
  </conditionalFormatting>
  <conditionalFormatting sqref="D35:F35">
    <cfRule type="cellIs" dxfId="34" priority="36" operator="notEqual">
      <formula>S35</formula>
    </cfRule>
  </conditionalFormatting>
  <conditionalFormatting sqref="D41:F41">
    <cfRule type="cellIs" dxfId="33" priority="35" operator="notEqual">
      <formula>S41</formula>
    </cfRule>
  </conditionalFormatting>
  <conditionalFormatting sqref="D64:F64">
    <cfRule type="cellIs" dxfId="32" priority="34" operator="notEqual">
      <formula>S64</formula>
    </cfRule>
  </conditionalFormatting>
  <conditionalFormatting sqref="D36:F36">
    <cfRule type="cellIs" dxfId="31" priority="33" operator="notEqual">
      <formula>S36</formula>
    </cfRule>
  </conditionalFormatting>
  <conditionalFormatting sqref="D42:F42">
    <cfRule type="cellIs" dxfId="30" priority="32" operator="notEqual">
      <formula>S42</formula>
    </cfRule>
  </conditionalFormatting>
  <conditionalFormatting sqref="D65:F65">
    <cfRule type="cellIs" dxfId="29" priority="31" operator="notEqual">
      <formula>S65</formula>
    </cfRule>
  </conditionalFormatting>
  <conditionalFormatting sqref="G35:H35">
    <cfRule type="cellIs" dxfId="28" priority="30" operator="notEqual">
      <formula>V35</formula>
    </cfRule>
  </conditionalFormatting>
  <conditionalFormatting sqref="G41:H41">
    <cfRule type="cellIs" dxfId="27" priority="29" operator="notEqual">
      <formula>V41</formula>
    </cfRule>
  </conditionalFormatting>
  <conditionalFormatting sqref="G64:H64">
    <cfRule type="cellIs" dxfId="26" priority="28" operator="notEqual">
      <formula>V64</formula>
    </cfRule>
  </conditionalFormatting>
  <conditionalFormatting sqref="G18:H18">
    <cfRule type="cellIs" dxfId="25" priority="27" operator="notEqual">
      <formula>V18</formula>
    </cfRule>
  </conditionalFormatting>
  <conditionalFormatting sqref="G8:H8">
    <cfRule type="cellIs" dxfId="24" priority="26" operator="notEqual">
      <formula>V8</formula>
    </cfRule>
  </conditionalFormatting>
  <conditionalFormatting sqref="I36:J36">
    <cfRule type="cellIs" dxfId="23" priority="25" operator="notEqual">
      <formula>X36</formula>
    </cfRule>
  </conditionalFormatting>
  <conditionalFormatting sqref="I42:J42">
    <cfRule type="cellIs" dxfId="22" priority="24" operator="notEqual">
      <formula>X42</formula>
    </cfRule>
  </conditionalFormatting>
  <conditionalFormatting sqref="I65:J65">
    <cfRule type="cellIs" dxfId="21" priority="23" operator="notEqual">
      <formula>X65</formula>
    </cfRule>
  </conditionalFormatting>
  <conditionalFormatting sqref="E28:F28">
    <cfRule type="cellIs" dxfId="20" priority="22" operator="notEqual">
      <formula>T28</formula>
    </cfRule>
  </conditionalFormatting>
  <conditionalFormatting sqref="G28:H28">
    <cfRule type="cellIs" dxfId="19" priority="21" operator="notEqual">
      <formula>V28</formula>
    </cfRule>
  </conditionalFormatting>
  <conditionalFormatting sqref="E50:F50">
    <cfRule type="cellIs" dxfId="18" priority="20" operator="notEqual">
      <formula>T50</formula>
    </cfRule>
  </conditionalFormatting>
  <conditionalFormatting sqref="G50:H50">
    <cfRule type="cellIs" dxfId="17" priority="19" operator="notEqual">
      <formula>V50</formula>
    </cfRule>
  </conditionalFormatting>
  <conditionalFormatting sqref="G54:H54">
    <cfRule type="cellIs" dxfId="16" priority="18" operator="notEqual">
      <formula>V54</formula>
    </cfRule>
  </conditionalFormatting>
  <conditionalFormatting sqref="E54:F54">
    <cfRule type="cellIs" dxfId="15" priority="17" operator="notEqual">
      <formula>T54</formula>
    </cfRule>
  </conditionalFormatting>
  <conditionalFormatting sqref="E56:F56">
    <cfRule type="cellIs" dxfId="14" priority="16" operator="notEqual">
      <formula>T56</formula>
    </cfRule>
  </conditionalFormatting>
  <conditionalFormatting sqref="G56:H56">
    <cfRule type="cellIs" dxfId="13" priority="15" operator="notEqual">
      <formula>V56</formula>
    </cfRule>
  </conditionalFormatting>
  <conditionalFormatting sqref="E30:F30">
    <cfRule type="cellIs" dxfId="12" priority="14" operator="notEqual">
      <formula>T30</formula>
    </cfRule>
  </conditionalFormatting>
  <conditionalFormatting sqref="G30:H30">
    <cfRule type="cellIs" dxfId="11" priority="13" operator="notEqual">
      <formula>V30</formula>
    </cfRule>
  </conditionalFormatting>
  <conditionalFormatting sqref="G52:H52">
    <cfRule type="cellIs" dxfId="10" priority="12" operator="notEqual">
      <formula>V52</formula>
    </cfRule>
  </conditionalFormatting>
  <conditionalFormatting sqref="E52:F52">
    <cfRule type="cellIs" dxfId="9" priority="11" operator="notEqual">
      <formula>T52</formula>
    </cfRule>
  </conditionalFormatting>
  <conditionalFormatting sqref="G69:H69">
    <cfRule type="cellIs" dxfId="8" priority="10" operator="notEqual">
      <formula>V69</formula>
    </cfRule>
  </conditionalFormatting>
  <conditionalFormatting sqref="D9:F9">
    <cfRule type="expression" dxfId="7" priority="9">
      <formula>NOT(OR(D9=$S$9,D9=$S$10))</formula>
    </cfRule>
  </conditionalFormatting>
  <conditionalFormatting sqref="D10:F10">
    <cfRule type="expression" dxfId="6" priority="8">
      <formula>NOT(OR(D10=$S$9,D10=$S$10))</formula>
    </cfRule>
  </conditionalFormatting>
  <conditionalFormatting sqref="D19:F19">
    <cfRule type="expression" dxfId="5" priority="7">
      <formula>NOT(OR($D$19=$S$19,$D$19=$S$20))</formula>
    </cfRule>
  </conditionalFormatting>
  <conditionalFormatting sqref="I9:J9">
    <cfRule type="cellIs" dxfId="4" priority="5" operator="notEqual">
      <formula>N9</formula>
    </cfRule>
  </conditionalFormatting>
  <conditionalFormatting sqref="I10:J10">
    <cfRule type="cellIs" dxfId="3" priority="4" operator="notEqual">
      <formula>N10</formula>
    </cfRule>
  </conditionalFormatting>
  <conditionalFormatting sqref="I19:J19">
    <cfRule type="cellIs" dxfId="2" priority="3" operator="notEqual">
      <formula>N19</formula>
    </cfRule>
  </conditionalFormatting>
  <conditionalFormatting sqref="I20:J20">
    <cfRule type="cellIs" dxfId="1" priority="2" operator="notEqual">
      <formula>N20</formula>
    </cfRule>
  </conditionalFormatting>
  <conditionalFormatting sqref="D20:F20">
    <cfRule type="expression" dxfId="0" priority="1">
      <formula>NOT(OR($D$20=$S$19,$D$20=$S$20))</formula>
    </cfRule>
  </conditionalFormatting>
  <dataValidations count="4">
    <dataValidation type="list" showInputMessage="1" showErrorMessage="1" sqref="D8:F10 D18:F20 D35:F36 D41:F42 D64:F65" xr:uid="{00000000-0002-0000-0100-000000000000}">
      <formula1>accounts</formula1>
    </dataValidation>
    <dataValidation type="list" showInputMessage="1" showErrorMessage="1" sqref="G8:H8 I9:J10 G18:H18 I19:J20 G35:H35 I36:J36 G41:H41 I42:J42 G64:H64 I65:J65 E50:H50 E54:H54 E56:H56 E28:H28" xr:uid="{00000000-0002-0000-0100-000001000000}">
      <formula1>values</formula1>
    </dataValidation>
    <dataValidation type="list" showInputMessage="1" showErrorMessage="1" sqref="E30:H30 E52:H52" xr:uid="{00000000-0002-0000-0100-000002000000}">
      <formula1>values2</formula1>
    </dataValidation>
    <dataValidation type="list" showInputMessage="1" showErrorMessage="1" sqref="G69:H69" xr:uid="{00000000-0002-0000-0100-000003000000}">
      <formula1>type</formula1>
    </dataValidation>
  </dataValidation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Identification</vt:lpstr>
      <vt:lpstr>Problem</vt:lpstr>
      <vt:lpstr>accounts</vt:lpstr>
      <vt:lpstr>type</vt:lpstr>
      <vt:lpstr>values</vt:lpstr>
      <vt:lpstr>values2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Larry Walther</cp:lastModifiedBy>
  <dcterms:created xsi:type="dcterms:W3CDTF">2017-08-15T23:14:48Z</dcterms:created>
  <dcterms:modified xsi:type="dcterms:W3CDTF">2017-09-02T16:48:19Z</dcterms:modified>
</cp:coreProperties>
</file>