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lmwal_000\Desktop\"/>
    </mc:Choice>
  </mc:AlternateContent>
  <workbookProtection workbookAlgorithmName="SHA-512" workbookHashValue="e5x2ZIj4FDu/prv6U8bA73lKWRHVaThf7xVG3M8MDpA9AmutzfpdQ7Bt/LvGlEPVAb8MMINkrsDwqsasfhrR+Q==" workbookSaltValue="8Lfgs0spyzot/UGSm/A77g==" workbookSpinCount="100000" lockStructure="1"/>
  <bookViews>
    <workbookView xWindow="0" yWindow="0" windowWidth="20490" windowHeight="7755" tabRatio="500"/>
  </bookViews>
  <sheets>
    <sheet name="Identification" sheetId="1" r:id="rId1"/>
    <sheet name="Problem" sheetId="3" r:id="rId2"/>
  </sheets>
  <definedNames>
    <definedName name="accounts">Problem!$M$66:$M$71</definedName>
    <definedName name="First">Problem!$M$3:$M$5</definedName>
    <definedName name="months">Problem!$M$100:$M$103</definedName>
    <definedName name="PE">Problem!$M$86:$M$89</definedName>
    <definedName name="ratio">Problem!$M$104:$M$109</definedName>
    <definedName name="shares">Problem!$M$93:$M$99</definedName>
    <definedName name="solver_eng" localSheetId="1" hidden="1">1</definedName>
    <definedName name="solver_neg" localSheetId="1" hidden="1">1</definedName>
    <definedName name="solver_num" localSheetId="1" hidden="1">0</definedName>
    <definedName name="solver_opt" localSheetId="1" hidden="1">Problem!$U$19</definedName>
    <definedName name="solver_typ" localSheetId="1" hidden="1">3</definedName>
    <definedName name="solver_val" localSheetId="1" hidden="1">0</definedName>
    <definedName name="solver_ver" localSheetId="1" hidden="1">3</definedName>
    <definedName name="values">Problem!$M$42:$M$53</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B8" i="1" l="1"/>
  <c r="B9" i="1"/>
  <c r="B10" i="1"/>
  <c r="B11" i="1"/>
  <c r="B12" i="1"/>
  <c r="B13" i="1"/>
  <c r="B14" i="1"/>
  <c r="B15" i="1"/>
  <c r="B16" i="1"/>
  <c r="B17" i="1"/>
  <c r="B18" i="1"/>
  <c r="B19" i="1"/>
  <c r="B20" i="1"/>
  <c r="B21" i="1"/>
  <c r="B23"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AE8" i="3"/>
  <c r="AE13" i="3"/>
  <c r="AC11" i="3"/>
  <c r="E71" i="1"/>
  <c r="AG8" i="3"/>
  <c r="AH13" i="3"/>
  <c r="AH14" i="3"/>
  <c r="AH15" i="3"/>
  <c r="V15" i="3"/>
  <c r="AB8" i="3"/>
  <c r="AB11" i="3"/>
  <c r="Q86" i="3"/>
  <c r="AD8" i="3"/>
  <c r="Q85" i="3"/>
  <c r="H15" i="3"/>
  <c r="V16" i="3"/>
  <c r="H16" i="3"/>
  <c r="H17" i="3"/>
  <c r="V17" i="3"/>
  <c r="U19" i="3"/>
  <c r="G19" i="3"/>
  <c r="U20" i="3"/>
  <c r="G20" i="3"/>
  <c r="U21" i="3"/>
  <c r="G21" i="3"/>
  <c r="H21" i="3"/>
  <c r="H22" i="3"/>
  <c r="P5" i="3"/>
  <c r="B5" i="3"/>
  <c r="V21" i="3"/>
  <c r="V22" i="3"/>
  <c r="V24" i="3"/>
  <c r="V25" i="3"/>
  <c r="V26" i="3"/>
  <c r="V27" i="3"/>
  <c r="AC15" i="3"/>
  <c r="C86" i="3"/>
  <c r="C85" i="3"/>
  <c r="B7" i="3"/>
  <c r="R105" i="3"/>
  <c r="S99" i="3"/>
  <c r="AD15" i="3"/>
  <c r="S100" i="3"/>
  <c r="T100" i="3"/>
  <c r="T99" i="3"/>
  <c r="T101" i="3"/>
  <c r="S105" i="3"/>
  <c r="U105" i="3"/>
  <c r="AB15" i="3"/>
  <c r="P107" i="3"/>
  <c r="M96" i="3"/>
  <c r="M70" i="3"/>
  <c r="M68" i="3"/>
  <c r="M71" i="3"/>
  <c r="M52" i="3"/>
  <c r="U35" i="3"/>
  <c r="U50" i="3"/>
  <c r="AD13" i="3"/>
  <c r="S64" i="3"/>
  <c r="T64" i="3"/>
  <c r="U69" i="3"/>
  <c r="U75" i="3"/>
  <c r="M43" i="3"/>
  <c r="M44" i="3"/>
  <c r="U32" i="3"/>
  <c r="U33" i="3"/>
  <c r="U34" i="3"/>
  <c r="U55" i="3"/>
  <c r="U56" i="3"/>
  <c r="M45" i="3"/>
  <c r="M46" i="3"/>
  <c r="V44" i="3"/>
  <c r="V45" i="3"/>
  <c r="V46" i="3"/>
  <c r="U48" i="3"/>
  <c r="U49" i="3"/>
  <c r="V50" i="3"/>
  <c r="V51" i="3"/>
  <c r="V52" i="3"/>
  <c r="M50" i="3"/>
  <c r="M47" i="3"/>
  <c r="M49" i="3"/>
  <c r="M48" i="3"/>
  <c r="M51" i="3"/>
  <c r="M53" i="3"/>
  <c r="R110" i="3"/>
  <c r="S110" i="3"/>
  <c r="U110" i="3"/>
  <c r="M87" i="3"/>
  <c r="M88" i="3"/>
  <c r="M89" i="3"/>
  <c r="M106" i="3"/>
  <c r="M105" i="3"/>
  <c r="M107" i="3"/>
  <c r="M108" i="3"/>
  <c r="M109" i="3"/>
  <c r="M94" i="3"/>
  <c r="M97" i="3"/>
  <c r="M95" i="3"/>
  <c r="M99" i="3"/>
  <c r="M103" i="3"/>
  <c r="M101" i="3"/>
  <c r="M98" i="3"/>
  <c r="M4" i="3"/>
  <c r="F64" i="3"/>
  <c r="E64" i="3"/>
  <c r="H26" i="3"/>
  <c r="D26" i="3"/>
  <c r="H24" i="3"/>
  <c r="B107" i="3"/>
  <c r="P96" i="3"/>
  <c r="B96" i="3"/>
  <c r="V53" i="3"/>
  <c r="V56" i="3"/>
  <c r="V57" i="3"/>
  <c r="V91" i="3"/>
  <c r="H91" i="3"/>
  <c r="U86" i="3"/>
  <c r="U89" i="3"/>
  <c r="G89" i="3"/>
  <c r="U85" i="3"/>
  <c r="U88" i="3"/>
  <c r="G88" i="3"/>
  <c r="G86" i="3"/>
  <c r="G85" i="3"/>
  <c r="P80" i="3"/>
  <c r="B80" i="3"/>
  <c r="D78" i="3"/>
  <c r="D72" i="3"/>
  <c r="B66" i="3"/>
  <c r="C64" i="3"/>
  <c r="D64" i="3"/>
  <c r="B61" i="3"/>
  <c r="B41" i="3"/>
  <c r="B40" i="3"/>
  <c r="P39" i="3"/>
  <c r="B39" i="3"/>
  <c r="H25" i="3"/>
  <c r="H27" i="3"/>
  <c r="G35" i="3"/>
  <c r="G34" i="3"/>
  <c r="G33" i="3"/>
  <c r="G32" i="3"/>
  <c r="D27" i="3"/>
  <c r="D25" i="3"/>
  <c r="D24" i="3"/>
  <c r="D23" i="3"/>
  <c r="D22" i="3"/>
  <c r="D21" i="3"/>
  <c r="D20" i="3"/>
  <c r="D19" i="3"/>
  <c r="D18" i="3"/>
  <c r="D17" i="3"/>
  <c r="D16" i="3"/>
  <c r="D15" i="3"/>
  <c r="D12" i="3"/>
  <c r="D11" i="3"/>
  <c r="R10" i="3"/>
  <c r="D10" i="3"/>
  <c r="P3" i="3"/>
  <c r="B3" i="3"/>
  <c r="F101" i="3"/>
  <c r="H86" i="3"/>
  <c r="H89" i="3"/>
  <c r="H90" i="3"/>
  <c r="H46" i="3"/>
  <c r="H50" i="3"/>
  <c r="H51" i="3"/>
  <c r="H53" i="3"/>
  <c r="H56" i="3"/>
  <c r="H57" i="3"/>
  <c r="H92" i="3"/>
  <c r="AA8" i="3"/>
  <c r="V86" i="3"/>
  <c r="V89" i="3"/>
  <c r="V90" i="3"/>
  <c r="V92" i="3"/>
  <c r="V76" i="3"/>
  <c r="V70" i="3"/>
  <c r="E72" i="1"/>
  <c r="AG9" i="3"/>
  <c r="AG13" i="3"/>
  <c r="AG14" i="3"/>
  <c r="AG15" i="3"/>
  <c r="D71" i="1"/>
  <c r="AF8" i="3"/>
  <c r="F71" i="1"/>
  <c r="AH8" i="3"/>
  <c r="G71" i="1"/>
  <c r="AI8" i="3"/>
  <c r="H71" i="1"/>
  <c r="AJ8" i="3"/>
  <c r="D72" i="1"/>
  <c r="AF9" i="3"/>
  <c r="F72" i="1"/>
  <c r="AH9" i="3"/>
  <c r="G72" i="1"/>
  <c r="AI9" i="3"/>
  <c r="H72" i="1"/>
  <c r="AJ9" i="3"/>
  <c r="C72" i="1"/>
  <c r="C73" i="1"/>
  <c r="D73" i="1"/>
  <c r="AF10" i="3"/>
  <c r="E73" i="1"/>
  <c r="AG10" i="3"/>
  <c r="F73" i="1"/>
  <c r="AH10" i="3"/>
  <c r="G73" i="1"/>
  <c r="AI10" i="3"/>
  <c r="H73" i="1"/>
  <c r="AJ10" i="3"/>
  <c r="C74" i="1"/>
  <c r="D74" i="1"/>
  <c r="AF11" i="3"/>
  <c r="E74" i="1"/>
  <c r="AG11" i="3"/>
  <c r="F74" i="1"/>
  <c r="AH11" i="3"/>
  <c r="G74" i="1"/>
  <c r="AI11" i="3"/>
  <c r="H74" i="1"/>
  <c r="AJ11" i="3"/>
  <c r="AE9" i="3"/>
  <c r="AE10" i="3"/>
  <c r="AE11" i="3"/>
</calcChain>
</file>

<file path=xl/sharedStrings.xml><?xml version="1.0" encoding="utf-8"?>
<sst xmlns="http://schemas.openxmlformats.org/spreadsheetml/2006/main" count="175" uniqueCount="96">
  <si>
    <t>Student Name:</t>
  </si>
  <si>
    <t>5 Digit Identification Number:</t>
  </si>
  <si>
    <t>Date:</t>
  </si>
  <si>
    <t>Random Number</t>
  </si>
  <si>
    <t>Randon numbers</t>
  </si>
  <si>
    <t>A)</t>
  </si>
  <si>
    <t>B)</t>
  </si>
  <si>
    <t>C)</t>
  </si>
  <si>
    <t>Total</t>
  </si>
  <si>
    <t>CS</t>
  </si>
  <si>
    <t>D)</t>
  </si>
  <si>
    <t>E)</t>
  </si>
  <si>
    <t xml:space="preserve"> </t>
  </si>
  <si>
    <t xml:space="preserve"> Company is a toy company that breaks its operations into three main segments - manufacturing, retail, and financial.  Initially </t>
  </si>
  <si>
    <t>Cost of goods sold</t>
  </si>
  <si>
    <t>Depreciation Expense</t>
  </si>
  <si>
    <t>Net income</t>
  </si>
  <si>
    <t>Income Statement</t>
  </si>
  <si>
    <t>For the Year Ending December 31, 20X3</t>
  </si>
  <si>
    <t>Sales</t>
  </si>
  <si>
    <t>Salaries</t>
  </si>
  <si>
    <t>Rent</t>
  </si>
  <si>
    <t>Other</t>
  </si>
  <si>
    <t>Income from continuing operations before income taxes</t>
  </si>
  <si>
    <t>Gross profit</t>
  </si>
  <si>
    <t>Operating expenses</t>
  </si>
  <si>
    <t>Income from operations</t>
  </si>
  <si>
    <t>Other revenues and gains</t>
  </si>
  <si>
    <t>Sale of Financial Sector Assets</t>
  </si>
  <si>
    <t>*** Additional Financial Sector Information</t>
  </si>
  <si>
    <t xml:space="preserve">Sales </t>
  </si>
  <si>
    <t>Cost of Goods Sold</t>
  </si>
  <si>
    <t>Other Operating Expenses</t>
  </si>
  <si>
    <t>Income Taxes</t>
  </si>
  <si>
    <t>Income from continuing operations</t>
  </si>
  <si>
    <t>Discontinued Operations</t>
  </si>
  <si>
    <t>Less: Income tax benefit from loss on disposal of Financial Sector</t>
  </si>
  <si>
    <t>Loss from operation of Financial Sector, including asset disposal</t>
  </si>
  <si>
    <t xml:space="preserve">Equipment </t>
  </si>
  <si>
    <t>XYZ</t>
  </si>
  <si>
    <t>Acquisition Date</t>
  </si>
  <si>
    <t>January 1, 20X2</t>
  </si>
  <si>
    <t>Cost</t>
  </si>
  <si>
    <t>Prepare the journal entry to correct the error of not recording depreciation during 20X3 and to record depreciation expense for equipment XYZ during 20X4.</t>
  </si>
  <si>
    <t>DATE</t>
  </si>
  <si>
    <t>ACCOUNT</t>
  </si>
  <si>
    <t>DEBIT</t>
  </si>
  <si>
    <t>CREDIT</t>
  </si>
  <si>
    <t>12/31/X4</t>
  </si>
  <si>
    <t>Retained Earnings</t>
  </si>
  <si>
    <t>Accumulated Depreciation</t>
  </si>
  <si>
    <t>To record correction of error for previously omitted 20X3 depreciation expense</t>
  </si>
  <si>
    <t>To record depreciation expense for 20X4</t>
  </si>
  <si>
    <t>Cumm</t>
  </si>
  <si>
    <t>Par</t>
  </si>
  <si>
    <t>Shares</t>
  </si>
  <si>
    <t>Pref</t>
  </si>
  <si>
    <t>Equip Cost</t>
  </si>
  <si>
    <t>Additional paid-in capital:</t>
  </si>
  <si>
    <t>Capital stock:</t>
  </si>
  <si>
    <t>Paid-in capital in excess of par - preferred stock</t>
  </si>
  <si>
    <t>Paid-in capital in excess of par - common stock</t>
  </si>
  <si>
    <t>Total paid-in capital</t>
  </si>
  <si>
    <t>Retained earnings</t>
  </si>
  <si>
    <t>Total stockholders' equity</t>
  </si>
  <si>
    <t>Stockholders' Equity</t>
  </si>
  <si>
    <t>Net Income 20X5</t>
  </si>
  <si>
    <t>Add shares</t>
  </si>
  <si>
    <t>Weighted-Average Number of Shares Outstanding</t>
  </si>
  <si>
    <t>Income Available to Common</t>
  </si>
  <si>
    <t>Basic EPS</t>
  </si>
  <si>
    <t>Time Interval</t>
  </si>
  <si>
    <t>Portion of Year</t>
  </si>
  <si>
    <t>Shares Outstanding</t>
  </si>
  <si>
    <t>Jan 1 - Mar 31</t>
  </si>
  <si>
    <t>April 1 - Dec 31</t>
  </si>
  <si>
    <t>Weighted-Average Common Stock Outstanding</t>
  </si>
  <si>
    <t>Weighted-Average Impact</t>
  </si>
  <si>
    <t>Cumm Div</t>
  </si>
  <si>
    <t>Market Price</t>
  </si>
  <si>
    <t>Market Price per Share</t>
  </si>
  <si>
    <t>P/E Ratio</t>
  </si>
  <si>
    <t xml:space="preserve">Applying what you have learned in chapter 15, select the correct answer for each red cell below.  Once the correct answer is selected the cell will turn green.  Round all answers to the nearest whole dollar unless otherwise specified.      </t>
  </si>
  <si>
    <t>Income taxes (30%)</t>
  </si>
  <si>
    <t>Under Income from Continuing Operations</t>
  </si>
  <si>
    <t>Cash</t>
  </si>
  <si>
    <t>Accounts Receivable</t>
  </si>
  <si>
    <t xml:space="preserve"> Company began its operations in the financial sector during 20X1 to diversify and hedge against potential drops in the toy market.  At the beginning of 20X3, the company CEO determined that the operations in the financial sector were hindering the company's growth due to a lack of expertise in the financial sector.  As a strategic shift </t>
  </si>
  <si>
    <t xml:space="preserve"> Company sold off its financial sector at the end of 20X3.</t>
  </si>
  <si>
    <t>Income before income taxes</t>
  </si>
  <si>
    <t>Discontinued operations</t>
  </si>
  <si>
    <t>During 20X4 you discover that due to the major focus on selling the Financial Sector, no depreciation was recorded on equipment XYZ during 20X3.  Additionally during 20X4, the PP&amp;E manager determined that the useful life of equipment XYZ be changed from 10 years to 15 years total; maintaining straight-line depreciation and no salvage value.  Information pertaining to equipment XYZ is as follows:</t>
  </si>
  <si>
    <t>A new staff accountant prepared the segmented income statement below for the year ended December 31, 20X3.  Upon review you noticed that the income statement did not properly show the sale of the financial sector as a discontinued operation.  Using the information presented in the income statement and the additional notes below, complete the blank income statement appropriately breaking out the discontinued operation.</t>
  </si>
  <si>
    <t>Accumulated Depreciation 1/1/X3</t>
  </si>
  <si>
    <t>Under Discontinued Operations</t>
  </si>
  <si>
    <t>Enter Your Name Here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</si>
</sst>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409]dd\-mmm\-yy;@"/>
    <numFmt numFmtId="166" formatCode="_-* #,##0_-;\-* #,##0_-;_-* &quot;-&quot;??_-;_-@_-"/>
    <numFmt numFmtId="167" formatCode="_(&quot;$&quot;* #,##0_);_(&quot;$&quot;* \(#,##0\);_(&quot;$&quot;* &quot;-&quot;??_);_(@_)"/>
    <numFmt numFmtId="168" formatCode="_(* #,##0_);_(* \(#,##0\);_(* &quot;-&quot;??_);_(@_)"/>
    <numFmt numFmtId="169" formatCode="_(&quot;$&quot;* #,##0_);_(&quot;$&quot;* \(#,##0\);_(&quot;$&quot;* &quot;-&quot;?_);_(@_)"/>
    <numFmt numFmtId="170" formatCode="_(&quot;$&quot;* #,##0.00_);_(&quot;$&quot;* \(#,##0.00\);_(&quot;$&quot;* &quot;-&quot;?_);_(@_)"/>
    <numFmt numFmtId="174" formatCode="&quot;$&quot;#,##0.00"/>
    <numFmt numFmtId="176" formatCode="&quot;$&quot;#,##0"/>
  </numFmts>
  <fonts count="21">
    <font>
      <sz val="10"/>
      <name val="Arial"/>
    </font>
    <font>
      <sz val="12"/>
      <color theme="1"/>
      <name val="Calibri"/>
      <family val="2"/>
      <scheme val="minor"/>
    </font>
    <font>
      <sz val="10"/>
      <name val="Arial"/>
      <family val="2"/>
    </font>
    <font>
      <sz val="10"/>
      <name val="Myriad Web Pro"/>
    </font>
    <font>
      <b/>
      <sz val="10"/>
      <color indexed="9"/>
      <name val="Myriad Web Pro"/>
    </font>
    <font>
      <sz val="10"/>
      <color indexed="16"/>
      <name val="Myriad Web Pro"/>
    </font>
    <font>
      <sz val="10"/>
      <color indexed="16"/>
      <name val="Myriad Pro"/>
    </font>
    <font>
      <sz val="10"/>
      <name val="Myriad Pro"/>
    </font>
    <font>
      <i/>
      <sz val="10"/>
      <name val="Myriad Web Pro"/>
    </font>
    <font>
      <sz val="12"/>
      <color indexed="12"/>
      <name val="Arial"/>
      <family val="2"/>
    </font>
    <font>
      <sz val="12"/>
      <name val="Myriad Pro"/>
    </font>
    <font>
      <sz val="12"/>
      <color indexed="16"/>
      <name val="Myriad Pro"/>
    </font>
    <font>
      <u/>
      <sz val="10"/>
      <color theme="10"/>
      <name val="Arial"/>
      <family val="2"/>
    </font>
    <font>
      <u/>
      <sz val="10"/>
      <color theme="11"/>
      <name val="Arial"/>
      <family val="2"/>
    </font>
    <font>
      <b/>
      <sz val="10"/>
      <name val="Myriad Web Pro"/>
    </font>
    <font>
      <b/>
      <sz val="10"/>
      <name val="Arial"/>
      <family val="2"/>
    </font>
    <font>
      <sz val="10"/>
      <name val="Arial"/>
      <family val="2"/>
    </font>
    <font>
      <u val="singleAccounting"/>
      <sz val="10"/>
      <name val="Myriad Web Pro"/>
    </font>
    <font>
      <b/>
      <sz val="12"/>
      <name val="Myriad Web Pro"/>
    </font>
    <font>
      <i/>
      <sz val="10"/>
      <name val="Arial"/>
      <family val="2"/>
    </font>
    <font>
      <u val="doubleAccounting"/>
      <sz val="10"/>
      <name val="Myriad Web Pro"/>
    </font>
  </fonts>
  <fills count="17">
    <fill>
      <patternFill patternType="none"/>
    </fill>
    <fill>
      <patternFill patternType="gray125"/>
    </fill>
    <fill>
      <patternFill patternType="solid">
        <fgColor theme="0"/>
        <bgColor indexed="64"/>
      </patternFill>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rgb="FFFFFF00"/>
        <bgColor indexed="64"/>
      </patternFill>
    </fill>
    <fill>
      <patternFill patternType="solid">
        <fgColor theme="3"/>
        <bgColor indexed="64"/>
      </patternFill>
    </fill>
    <fill>
      <patternFill patternType="solid">
        <fgColor theme="3" tint="0.79998168889431442"/>
        <bgColor indexed="64"/>
      </patternFill>
    </fill>
    <fill>
      <patternFill patternType="solid">
        <fgColor rgb="FFFFC000"/>
        <bgColor indexed="64"/>
      </patternFill>
    </fill>
    <fill>
      <patternFill patternType="solid">
        <fgColor rgb="FF00FF00"/>
        <bgColor indexed="64"/>
      </patternFill>
    </fill>
  </fills>
  <borders count="17">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indexed="10"/>
      </left>
      <right style="thin">
        <color indexed="10"/>
      </right>
      <top style="thin">
        <color indexed="10"/>
      </top>
      <bottom style="thin">
        <color indexed="10"/>
      </bottom>
      <diagonal/>
    </border>
    <border>
      <left style="hair">
        <color auto="1"/>
      </left>
      <right style="hair">
        <color auto="1"/>
      </right>
      <top style="hair">
        <color auto="1"/>
      </top>
      <bottom style="hair">
        <color auto="1"/>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style="thin">
        <color auto="1"/>
      </top>
      <bottom style="thin">
        <color auto="1"/>
      </bottom>
      <diagonal/>
    </border>
    <border>
      <left/>
      <right/>
      <top style="thin">
        <color auto="1"/>
      </top>
      <bottom/>
      <diagonal/>
    </border>
    <border>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0">
    <xf numFmtId="0" fontId="0" fillId="0" borderId="0"/>
    <xf numFmtId="164" fontId="1" fillId="0" borderId="0" applyFont="0" applyFill="0" applyBorder="0" applyAlignment="0" applyProtection="0"/>
    <xf numFmtId="0" fontId="3" fillId="3" borderId="0" applyNumberFormat="0" applyBorder="0" applyAlignment="0"/>
    <xf numFmtId="0" fontId="3" fillId="4" borderId="0"/>
    <xf numFmtId="0" fontId="4" fillId="4" borderId="0">
      <alignment horizontal="center" vertical="center"/>
    </xf>
    <xf numFmtId="3" fontId="3" fillId="5" borderId="2">
      <alignment horizontal="right" vertical="center" wrapText="1"/>
    </xf>
    <xf numFmtId="0" fontId="5" fillId="5" borderId="3">
      <alignment horizontal="left" vertical="center" wrapText="1"/>
    </xf>
    <xf numFmtId="0" fontId="6" fillId="5" borderId="0">
      <alignment horizontal="left" vertical="center" wrapText="1" indent="1"/>
    </xf>
    <xf numFmtId="3" fontId="7" fillId="5" borderId="4" applyNumberFormat="0" applyFont="0" applyAlignment="0">
      <alignment horizontal="center" vertical="center" wrapText="1"/>
    </xf>
    <xf numFmtId="16" fontId="3" fillId="5" borderId="0">
      <alignment horizontal="center" vertical="center" wrapText="1"/>
    </xf>
    <xf numFmtId="0" fontId="8" fillId="5" borderId="5">
      <alignment horizontal="justify" vertical="center" wrapText="1"/>
    </xf>
    <xf numFmtId="0" fontId="9" fillId="6" borderId="0" applyFont="0" applyAlignment="0">
      <alignment horizontal="center" vertical="center" wrapText="1"/>
    </xf>
    <xf numFmtId="0" fontId="4" fillId="6" borderId="4" applyAlignment="0">
      <alignment horizontal="center" vertical="center" wrapText="1"/>
    </xf>
    <xf numFmtId="165" fontId="10" fillId="7" borderId="6" applyNumberFormat="0" applyFont="0" applyFill="0" applyAlignment="0">
      <alignment horizontal="left" vertical="center" wrapText="1"/>
    </xf>
    <xf numFmtId="165" fontId="3" fillId="0" borderId="6" applyNumberFormat="0" applyFont="0" applyFill="0" applyAlignment="0">
      <alignment horizontal="center" vertical="center" wrapText="1"/>
    </xf>
    <xf numFmtId="165" fontId="3" fillId="8" borderId="7" applyNumberFormat="0" applyBorder="0" applyAlignment="0">
      <alignment horizontal="left" vertical="center" wrapText="1"/>
    </xf>
    <xf numFmtId="0" fontId="4" fillId="9" borderId="8" applyAlignment="0">
      <alignment vertical="center"/>
    </xf>
    <xf numFmtId="0" fontId="2" fillId="9" borderId="0">
      <alignment vertical="center"/>
    </xf>
    <xf numFmtId="165" fontId="3" fillId="7" borderId="9" applyNumberFormat="0" applyBorder="0" applyAlignment="0">
      <alignment horizontal="left" vertical="center" wrapText="1"/>
    </xf>
    <xf numFmtId="0" fontId="3" fillId="5" borderId="0" applyFill="0">
      <alignment horizontal="justify" vertical="top" wrapText="1"/>
    </xf>
    <xf numFmtId="0" fontId="11" fillId="0" borderId="0">
      <alignment horizontal="left" vertical="center" wrapText="1"/>
    </xf>
    <xf numFmtId="0" fontId="10" fillId="0" borderId="0">
      <alignment horizontal="left" vertical="center" wrapText="1"/>
    </xf>
    <xf numFmtId="0" fontId="3" fillId="10" borderId="0" applyNumberFormat="0" applyAlignment="0">
      <alignment vertical="center"/>
    </xf>
    <xf numFmtId="0" fontId="4" fillId="11" borderId="0" applyNumberFormat="0" applyAlignment="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157">
    <xf numFmtId="0" fontId="0" fillId="0" borderId="0" xfId="0"/>
    <xf numFmtId="0" fontId="3" fillId="2" borderId="0" xfId="0" applyFont="1" applyFill="1" applyAlignment="1" applyProtection="1">
      <alignment horizontal="left" vertical="center"/>
    </xf>
    <xf numFmtId="0" fontId="3" fillId="2" borderId="0" xfId="0" applyFont="1" applyFill="1" applyAlignment="1" applyProtection="1">
      <alignment horizontal="center" vertical="center"/>
      <protection locked="0"/>
    </xf>
    <xf numFmtId="0" fontId="3" fillId="2" borderId="0" xfId="0" applyFont="1" applyFill="1" applyProtection="1"/>
    <xf numFmtId="14" fontId="3" fillId="2" borderId="0" xfId="0" applyNumberFormat="1" applyFont="1" applyFill="1" applyAlignment="1" applyProtection="1">
      <alignment horizontal="center" vertical="center"/>
      <protection locked="0"/>
    </xf>
    <xf numFmtId="1" fontId="3" fillId="2" borderId="1" xfId="0" applyNumberFormat="1" applyFont="1" applyFill="1" applyBorder="1" applyProtection="1"/>
    <xf numFmtId="1" fontId="3" fillId="12" borderId="1" xfId="0" applyNumberFormat="1" applyFont="1" applyFill="1" applyBorder="1" applyProtection="1"/>
    <xf numFmtId="0" fontId="4" fillId="13" borderId="0" xfId="4" applyFont="1" applyFill="1" applyBorder="1" applyProtection="1">
      <alignment horizontal="center" vertical="center"/>
    </xf>
    <xf numFmtId="0" fontId="3" fillId="14" borderId="0" xfId="0" applyFont="1" applyFill="1" applyBorder="1" applyAlignment="1" applyProtection="1">
      <alignment vertical="center"/>
    </xf>
    <xf numFmtId="0" fontId="14" fillId="14" borderId="0" xfId="0" applyFont="1" applyFill="1" applyBorder="1" applyAlignment="1" applyProtection="1">
      <alignment vertical="center" wrapText="1"/>
    </xf>
    <xf numFmtId="42" fontId="3" fillId="14" borderId="0" xfId="0" applyNumberFormat="1" applyFont="1" applyFill="1" applyBorder="1" applyAlignment="1" applyProtection="1">
      <alignment vertical="center"/>
    </xf>
    <xf numFmtId="0" fontId="3" fillId="14" borderId="0" xfId="0" applyFont="1" applyFill="1" applyBorder="1" applyAlignment="1" applyProtection="1">
      <alignment vertical="center" wrapText="1"/>
    </xf>
    <xf numFmtId="41" fontId="3" fillId="14" borderId="0" xfId="0" applyNumberFormat="1" applyFont="1" applyFill="1" applyBorder="1" applyAlignment="1" applyProtection="1">
      <alignment horizontal="left" vertical="center"/>
    </xf>
    <xf numFmtId="41" fontId="3" fillId="14" borderId="0" xfId="0" applyNumberFormat="1" applyFont="1" applyFill="1" applyBorder="1" applyAlignment="1" applyProtection="1">
      <alignment vertical="center"/>
    </xf>
    <xf numFmtId="41" fontId="17" fillId="14" borderId="0" xfId="0" applyNumberFormat="1" applyFont="1" applyFill="1" applyBorder="1" applyAlignment="1" applyProtection="1">
      <alignment vertical="center"/>
    </xf>
    <xf numFmtId="167" fontId="3" fillId="14" borderId="0" xfId="38" applyNumberFormat="1" applyFont="1" applyFill="1" applyBorder="1" applyAlignment="1" applyProtection="1">
      <alignment vertical="center"/>
    </xf>
    <xf numFmtId="41" fontId="3" fillId="14" borderId="0" xfId="0" applyNumberFormat="1" applyFont="1" applyFill="1" applyBorder="1" applyAlignment="1" applyProtection="1">
      <alignment horizontal="right" vertical="center" wrapText="1"/>
    </xf>
    <xf numFmtId="0" fontId="3" fillId="13" borderId="0" xfId="3" applyFont="1" applyFill="1" applyBorder="1" applyProtection="1"/>
    <xf numFmtId="42" fontId="17" fillId="14" borderId="0" xfId="0" applyNumberFormat="1" applyFont="1" applyFill="1" applyBorder="1" applyAlignment="1" applyProtection="1">
      <alignment vertical="center"/>
    </xf>
    <xf numFmtId="168" fontId="17" fillId="14" borderId="0" xfId="1" applyNumberFormat="1" applyFont="1" applyFill="1" applyBorder="1" applyAlignment="1" applyProtection="1">
      <alignment vertical="center"/>
    </xf>
    <xf numFmtId="41" fontId="17" fillId="14" borderId="0" xfId="0" applyNumberFormat="1" applyFont="1" applyFill="1" applyBorder="1" applyAlignment="1" applyProtection="1">
      <alignment horizontal="left" vertical="center"/>
    </xf>
    <xf numFmtId="167" fontId="17" fillId="14" borderId="0" xfId="38" applyNumberFormat="1" applyFont="1" applyFill="1" applyBorder="1" applyAlignment="1" applyProtection="1">
      <alignment vertical="center"/>
    </xf>
    <xf numFmtId="41" fontId="14" fillId="14" borderId="0" xfId="0" applyNumberFormat="1" applyFont="1" applyFill="1" applyBorder="1" applyAlignment="1" applyProtection="1">
      <alignment horizontal="left" vertical="center"/>
    </xf>
    <xf numFmtId="41" fontId="3" fillId="14" borderId="0" xfId="0" applyNumberFormat="1" applyFont="1" applyFill="1" applyBorder="1" applyAlignment="1" applyProtection="1">
      <alignment horizontal="left" vertical="center" indent="1"/>
    </xf>
    <xf numFmtId="41" fontId="14" fillId="14" borderId="0" xfId="0" applyNumberFormat="1" applyFont="1" applyFill="1" applyBorder="1" applyAlignment="1" applyProtection="1">
      <alignment vertical="center"/>
    </xf>
    <xf numFmtId="0" fontId="18" fillId="14" borderId="1" xfId="0" applyFont="1" applyFill="1" applyBorder="1" applyAlignment="1" applyProtection="1">
      <alignment vertical="center"/>
    </xf>
    <xf numFmtId="168" fontId="3" fillId="14" borderId="0" xfId="1" applyNumberFormat="1" applyFont="1" applyFill="1" applyBorder="1" applyAlignment="1" applyProtection="1">
      <alignment vertical="center"/>
    </xf>
    <xf numFmtId="0" fontId="15" fillId="2" borderId="0" xfId="0" applyFont="1" applyFill="1" applyProtection="1"/>
    <xf numFmtId="0" fontId="15" fillId="2" borderId="0" xfId="0" applyFont="1" applyFill="1" applyAlignment="1" applyProtection="1">
      <alignment horizontal="left"/>
    </xf>
    <xf numFmtId="0" fontId="0" fillId="2" borderId="0" xfId="0" applyFill="1" applyAlignment="1" applyProtection="1">
      <alignment horizontal="left"/>
    </xf>
    <xf numFmtId="0" fontId="0" fillId="2" borderId="0" xfId="0" applyFill="1" applyProtection="1"/>
    <xf numFmtId="0" fontId="16" fillId="2" borderId="0" xfId="0" applyFont="1" applyFill="1" applyProtection="1"/>
    <xf numFmtId="0" fontId="0" fillId="2" borderId="0" xfId="0" applyFill="1" applyAlignment="1" applyProtection="1">
      <alignment horizontal="left" vertical="center"/>
    </xf>
    <xf numFmtId="0" fontId="0" fillId="2" borderId="0" xfId="0" applyFill="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0" xfId="0" applyFont="1" applyFill="1" applyAlignment="1" applyProtection="1">
      <alignment vertical="center" wrapText="1"/>
    </xf>
    <xf numFmtId="0" fontId="2" fillId="2" borderId="0" xfId="0" applyFont="1" applyFill="1" applyAlignment="1" applyProtection="1">
      <alignment horizontal="left" vertical="center"/>
    </xf>
    <xf numFmtId="0" fontId="15" fillId="2" borderId="0" xfId="0" applyFont="1" applyFill="1" applyAlignment="1" applyProtection="1">
      <alignment vertical="center"/>
    </xf>
    <xf numFmtId="0" fontId="15" fillId="2" borderId="0" xfId="0" applyFont="1" applyFill="1" applyAlignment="1" applyProtection="1">
      <alignment horizontal="left" vertical="center"/>
    </xf>
    <xf numFmtId="166" fontId="0" fillId="2" borderId="0" xfId="1" applyNumberFormat="1" applyFont="1" applyFill="1" applyProtection="1"/>
    <xf numFmtId="44" fontId="0" fillId="2" borderId="0" xfId="38" applyFont="1" applyFill="1" applyProtection="1"/>
    <xf numFmtId="9" fontId="0" fillId="2" borderId="0" xfId="39" applyFont="1" applyFill="1" applyProtection="1"/>
    <xf numFmtId="167" fontId="0" fillId="2" borderId="0" xfId="38" applyNumberFormat="1" applyFont="1" applyFill="1" applyProtection="1"/>
    <xf numFmtId="44" fontId="16" fillId="2" borderId="0" xfId="0" applyNumberFormat="1" applyFont="1" applyFill="1" applyProtection="1"/>
    <xf numFmtId="169" fontId="0" fillId="2" borderId="0" xfId="0" applyNumberFormat="1" applyFill="1" applyProtection="1"/>
    <xf numFmtId="167" fontId="0" fillId="2" borderId="0" xfId="0" applyNumberFormat="1" applyFill="1" applyProtection="1"/>
    <xf numFmtId="0" fontId="16" fillId="2" borderId="0" xfId="0" applyFont="1" applyFill="1" applyAlignment="1" applyProtection="1">
      <alignment horizontal="right" indent="2"/>
    </xf>
    <xf numFmtId="167" fontId="0" fillId="2" borderId="0" xfId="38" applyNumberFormat="1" applyFont="1" applyFill="1" applyAlignment="1" applyProtection="1">
      <alignment horizontal="left"/>
    </xf>
    <xf numFmtId="0" fontId="2" fillId="2" borderId="0" xfId="0" applyFont="1" applyFill="1" applyBorder="1" applyAlignment="1" applyProtection="1">
      <alignment horizontal="left"/>
    </xf>
    <xf numFmtId="0" fontId="0" fillId="2" borderId="0" xfId="0" applyFill="1" applyAlignment="1" applyProtection="1">
      <alignment horizontal="center" wrapText="1"/>
    </xf>
    <xf numFmtId="0" fontId="16" fillId="15" borderId="1" xfId="0" applyFont="1" applyFill="1" applyBorder="1" applyAlignment="1" applyProtection="1">
      <alignment horizontal="center"/>
    </xf>
    <xf numFmtId="0" fontId="15" fillId="2" borderId="0" xfId="0" applyFont="1" applyFill="1" applyAlignment="1" applyProtection="1">
      <alignment horizontal="center" wrapText="1"/>
    </xf>
    <xf numFmtId="0" fontId="2" fillId="2" borderId="0" xfId="0" applyFont="1" applyFill="1" applyAlignment="1" applyProtection="1">
      <alignment horizontal="left"/>
    </xf>
    <xf numFmtId="164" fontId="0" fillId="2" borderId="0" xfId="0" applyNumberFormat="1" applyFill="1" applyAlignment="1" applyProtection="1">
      <alignment horizontal="left"/>
    </xf>
    <xf numFmtId="43" fontId="0" fillId="2" borderId="0" xfId="0" applyNumberFormat="1" applyFill="1" applyAlignment="1" applyProtection="1">
      <alignment horizontal="left"/>
    </xf>
    <xf numFmtId="166" fontId="2" fillId="2" borderId="0" xfId="0" applyNumberFormat="1" applyFont="1" applyFill="1" applyAlignment="1" applyProtection="1">
      <alignment horizontal="left" vertical="center"/>
    </xf>
    <xf numFmtId="166" fontId="2" fillId="2" borderId="0" xfId="0" applyNumberFormat="1" applyFont="1" applyFill="1" applyAlignment="1" applyProtection="1">
      <alignment horizontal="left"/>
    </xf>
    <xf numFmtId="166" fontId="0" fillId="2" borderId="0" xfId="0" applyNumberFormat="1" applyFill="1" applyAlignment="1" applyProtection="1">
      <alignment horizontal="left"/>
    </xf>
    <xf numFmtId="44" fontId="0" fillId="2" borderId="0" xfId="38" applyFont="1" applyFill="1" applyAlignment="1" applyProtection="1">
      <alignment horizontal="left"/>
    </xf>
    <xf numFmtId="169" fontId="0" fillId="2" borderId="1" xfId="0" applyNumberFormat="1" applyFill="1" applyBorder="1" applyProtection="1"/>
    <xf numFmtId="44" fontId="0" fillId="2" borderId="1" xfId="38" applyFont="1" applyFill="1" applyBorder="1" applyProtection="1"/>
    <xf numFmtId="0" fontId="2" fillId="2" borderId="0" xfId="0" applyFont="1" applyFill="1" applyProtection="1"/>
    <xf numFmtId="0" fontId="2" fillId="2" borderId="15"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4" fillId="13" borderId="0" xfId="4" applyFont="1" applyFill="1" applyBorder="1" applyAlignment="1" applyProtection="1">
      <alignment horizontal="center" vertical="center"/>
    </xf>
    <xf numFmtId="0" fontId="0" fillId="2" borderId="0" xfId="0" applyFill="1" applyAlignment="1" applyProtection="1">
      <alignment horizontal="center" vertical="center" wrapText="1"/>
    </xf>
    <xf numFmtId="0" fontId="15" fillId="2" borderId="0" xfId="0" applyFont="1" applyFill="1" applyAlignment="1" applyProtection="1">
      <alignment horizontal="center" vertical="center" wrapText="1"/>
    </xf>
    <xf numFmtId="41" fontId="3" fillId="14" borderId="0" xfId="0" applyNumberFormat="1" applyFont="1" applyFill="1" applyBorder="1" applyAlignment="1" applyProtection="1">
      <alignment horizontal="left" vertical="center" indent="1"/>
    </xf>
    <xf numFmtId="41" fontId="14" fillId="14" borderId="0" xfId="0" applyNumberFormat="1" applyFont="1" applyFill="1" applyBorder="1" applyAlignment="1" applyProtection="1">
      <alignment horizontal="left" vertical="center"/>
    </xf>
    <xf numFmtId="0" fontId="16" fillId="2" borderId="0" xfId="0" applyFont="1" applyFill="1" applyAlignment="1" applyProtection="1">
      <alignment horizontal="center"/>
    </xf>
    <xf numFmtId="0" fontId="0" fillId="2" borderId="0" xfId="0" applyFill="1" applyAlignment="1" applyProtection="1">
      <alignment horizontal="center"/>
    </xf>
    <xf numFmtId="0" fontId="0" fillId="2" borderId="12" xfId="0" applyFill="1" applyBorder="1" applyAlignment="1" applyProtection="1">
      <alignment horizontal="center"/>
    </xf>
    <xf numFmtId="0" fontId="16" fillId="15" borderId="1" xfId="0" applyFont="1" applyFill="1" applyBorder="1" applyAlignment="1" applyProtection="1">
      <alignment horizontal="center" wrapText="1"/>
    </xf>
    <xf numFmtId="166" fontId="0" fillId="2" borderId="13" xfId="1" applyNumberFormat="1" applyFont="1" applyFill="1" applyBorder="1" applyAlignment="1" applyProtection="1">
      <alignment horizontal="center"/>
    </xf>
    <xf numFmtId="166" fontId="0" fillId="2" borderId="14" xfId="1" applyNumberFormat="1" applyFont="1" applyFill="1" applyBorder="1" applyAlignment="1" applyProtection="1">
      <alignment horizontal="center"/>
    </xf>
    <xf numFmtId="0" fontId="16" fillId="15" borderId="1" xfId="0" applyFont="1" applyFill="1" applyBorder="1" applyAlignment="1" applyProtection="1">
      <alignment horizontal="center"/>
    </xf>
    <xf numFmtId="0" fontId="19" fillId="2" borderId="13" xfId="0" applyFont="1" applyFill="1" applyBorder="1" applyAlignment="1" applyProtection="1">
      <alignment horizontal="center" wrapText="1"/>
    </xf>
    <xf numFmtId="0" fontId="19" fillId="2" borderId="10" xfId="0" applyFont="1" applyFill="1" applyBorder="1" applyAlignment="1" applyProtection="1">
      <alignment horizontal="center" wrapText="1"/>
    </xf>
    <xf numFmtId="0" fontId="19" fillId="2" borderId="14" xfId="0" applyFont="1" applyFill="1" applyBorder="1" applyAlignment="1" applyProtection="1">
      <alignment horizontal="center" wrapText="1"/>
    </xf>
    <xf numFmtId="0" fontId="0" fillId="2" borderId="0" xfId="0" applyFill="1" applyAlignment="1" applyProtection="1">
      <alignment horizontal="left"/>
    </xf>
    <xf numFmtId="0" fontId="15" fillId="2" borderId="0" xfId="0" applyFont="1" applyFill="1" applyAlignment="1" applyProtection="1">
      <alignment horizontal="center" wrapText="1"/>
    </xf>
    <xf numFmtId="0" fontId="18" fillId="14" borderId="13" xfId="0" applyFont="1" applyFill="1" applyBorder="1" applyAlignment="1" applyProtection="1">
      <alignment horizontal="center" vertical="center"/>
    </xf>
    <xf numFmtId="0" fontId="18" fillId="14" borderId="14" xfId="0" applyFont="1" applyFill="1" applyBorder="1" applyAlignment="1" applyProtection="1">
      <alignment horizontal="center" vertical="center"/>
    </xf>
    <xf numFmtId="0" fontId="2" fillId="2" borderId="0" xfId="0" applyFont="1" applyFill="1" applyAlignment="1" applyProtection="1">
      <alignment horizontal="center" wrapText="1"/>
    </xf>
    <xf numFmtId="0" fontId="0" fillId="2" borderId="0" xfId="0" applyFill="1" applyAlignment="1" applyProtection="1">
      <alignment horizontal="center" wrapText="1"/>
    </xf>
    <xf numFmtId="0" fontId="15" fillId="16" borderId="16" xfId="0" applyFont="1" applyFill="1" applyBorder="1" applyAlignment="1" applyProtection="1">
      <alignment horizontal="center" vertical="center" wrapText="1"/>
      <protection locked="0"/>
    </xf>
    <xf numFmtId="0" fontId="2" fillId="15" borderId="1" xfId="0" applyFont="1" applyFill="1" applyBorder="1" applyAlignment="1" applyProtection="1">
      <alignment horizontal="center"/>
    </xf>
    <xf numFmtId="0" fontId="2" fillId="16" borderId="15" xfId="0" applyFont="1" applyFill="1" applyBorder="1" applyAlignment="1" applyProtection="1">
      <alignment horizontal="center" vertical="center" wrapText="1"/>
      <protection locked="0"/>
    </xf>
    <xf numFmtId="0" fontId="0" fillId="2" borderId="0" xfId="0" applyFill="1" applyAlignment="1" applyProtection="1">
      <alignment vertical="center"/>
    </xf>
    <xf numFmtId="0" fontId="16" fillId="2" borderId="0" xfId="0" applyFont="1" applyFill="1" applyAlignment="1" applyProtection="1">
      <alignment vertical="center"/>
    </xf>
    <xf numFmtId="1" fontId="3" fillId="2" borderId="1" xfId="0" applyNumberFormat="1" applyFont="1" applyFill="1" applyBorder="1" applyAlignment="1" applyProtection="1">
      <alignment vertical="center"/>
    </xf>
    <xf numFmtId="0" fontId="2" fillId="2" borderId="0" xfId="0" applyFont="1" applyFill="1" applyAlignment="1" applyProtection="1">
      <alignment vertical="center"/>
    </xf>
    <xf numFmtId="166" fontId="0" fillId="2" borderId="0" xfId="1" applyNumberFormat="1" applyFont="1" applyFill="1" applyAlignment="1" applyProtection="1">
      <alignment vertical="center"/>
    </xf>
    <xf numFmtId="44" fontId="0" fillId="2" borderId="0" xfId="38" applyFont="1" applyFill="1" applyAlignment="1" applyProtection="1">
      <alignment vertical="center"/>
    </xf>
    <xf numFmtId="0" fontId="16" fillId="2" borderId="0" xfId="0" applyFont="1" applyFill="1" applyAlignment="1" applyProtection="1">
      <alignment horizontal="left" vertical="center"/>
    </xf>
    <xf numFmtId="167" fontId="0" fillId="2" borderId="0" xfId="0" applyNumberFormat="1" applyFill="1" applyAlignment="1" applyProtection="1">
      <alignment vertical="center"/>
    </xf>
    <xf numFmtId="0" fontId="16" fillId="2" borderId="0" xfId="0" applyFont="1" applyFill="1" applyAlignment="1" applyProtection="1">
      <alignment horizontal="left" vertical="center" indent="4"/>
    </xf>
    <xf numFmtId="42" fontId="3" fillId="0" borderId="0" xfId="0" applyNumberFormat="1" applyFont="1" applyFill="1" applyBorder="1" applyAlignment="1" applyProtection="1">
      <alignment vertical="center"/>
    </xf>
    <xf numFmtId="41" fontId="3" fillId="0" borderId="0" xfId="0" applyNumberFormat="1" applyFont="1" applyFill="1" applyBorder="1" applyAlignment="1" applyProtection="1">
      <alignment vertical="center"/>
    </xf>
    <xf numFmtId="42" fontId="3" fillId="16" borderId="0" xfId="0" applyNumberFormat="1" applyFont="1" applyFill="1" applyBorder="1" applyAlignment="1" applyProtection="1">
      <alignment vertical="center"/>
      <protection locked="0"/>
    </xf>
    <xf numFmtId="41" fontId="3" fillId="16" borderId="0" xfId="0" applyNumberFormat="1" applyFont="1" applyFill="1" applyBorder="1" applyAlignment="1" applyProtection="1">
      <alignment vertical="center"/>
      <protection locked="0"/>
    </xf>
    <xf numFmtId="41" fontId="17" fillId="16" borderId="0" xfId="0" applyNumberFormat="1" applyFont="1" applyFill="1" applyBorder="1" applyAlignment="1" applyProtection="1">
      <alignment vertical="center"/>
      <protection locked="0"/>
    </xf>
    <xf numFmtId="0" fontId="16" fillId="2" borderId="0" xfId="0" applyFont="1" applyFill="1" applyAlignment="1" applyProtection="1">
      <alignment horizontal="center" vertical="center" wrapText="1"/>
    </xf>
    <xf numFmtId="0" fontId="16" fillId="2" borderId="1" xfId="0" applyFont="1" applyFill="1" applyBorder="1" applyAlignment="1" applyProtection="1">
      <alignment vertical="center"/>
    </xf>
    <xf numFmtId="167" fontId="0" fillId="2" borderId="1" xfId="38" applyNumberFormat="1" applyFont="1" applyFill="1" applyBorder="1" applyAlignment="1" applyProtection="1">
      <alignment horizontal="center" vertical="center"/>
    </xf>
    <xf numFmtId="167" fontId="0" fillId="2" borderId="1" xfId="0" applyNumberFormat="1" applyFill="1" applyBorder="1" applyAlignment="1" applyProtection="1">
      <alignment horizontal="center" vertical="center"/>
    </xf>
    <xf numFmtId="0" fontId="0" fillId="2" borderId="1" xfId="0" applyFill="1" applyBorder="1" applyAlignment="1" applyProtection="1">
      <alignment horizontal="center" vertical="center"/>
    </xf>
    <xf numFmtId="0" fontId="16" fillId="2" borderId="1" xfId="0" applyFont="1" applyFill="1" applyBorder="1" applyAlignment="1" applyProtection="1">
      <alignment horizontal="center" vertical="center"/>
    </xf>
    <xf numFmtId="176" fontId="0" fillId="2" borderId="1" xfId="38" applyNumberFormat="1" applyFont="1" applyFill="1" applyBorder="1" applyAlignment="1" applyProtection="1">
      <alignment horizontal="center" vertical="center"/>
    </xf>
    <xf numFmtId="176" fontId="0" fillId="2" borderId="13" xfId="0" applyNumberFormat="1" applyFill="1" applyBorder="1" applyAlignment="1" applyProtection="1">
      <alignment horizontal="center" vertical="center"/>
    </xf>
    <xf numFmtId="176" fontId="0" fillId="2" borderId="10" xfId="0" applyNumberFormat="1" applyFill="1" applyBorder="1" applyAlignment="1" applyProtection="1">
      <alignment horizontal="center" vertical="center"/>
    </xf>
    <xf numFmtId="176" fontId="0" fillId="2" borderId="14" xfId="0" applyNumberFormat="1" applyFill="1" applyBorder="1" applyAlignment="1" applyProtection="1">
      <alignment horizontal="center" vertical="center"/>
    </xf>
    <xf numFmtId="0" fontId="18" fillId="14" borderId="1" xfId="0" applyFont="1" applyFill="1" applyBorder="1" applyAlignment="1" applyProtection="1">
      <alignment horizontal="center" vertical="center"/>
    </xf>
    <xf numFmtId="0" fontId="19" fillId="2" borderId="0" xfId="0" applyFont="1" applyFill="1" applyBorder="1" applyAlignment="1" applyProtection="1">
      <alignment wrapText="1"/>
    </xf>
    <xf numFmtId="0" fontId="16" fillId="16" borderId="11" xfId="0" applyFont="1" applyFill="1" applyBorder="1" applyAlignment="1" applyProtection="1">
      <alignment horizontal="left" vertical="center"/>
      <protection locked="0"/>
    </xf>
    <xf numFmtId="0" fontId="0" fillId="16" borderId="11" xfId="0" applyFill="1" applyBorder="1" applyAlignment="1" applyProtection="1">
      <alignment horizontal="left" vertical="center"/>
      <protection locked="0"/>
    </xf>
    <xf numFmtId="0" fontId="16" fillId="2" borderId="11" xfId="0" applyFont="1" applyFill="1" applyBorder="1" applyAlignment="1" applyProtection="1">
      <alignment horizontal="left" vertical="center"/>
    </xf>
    <xf numFmtId="0" fontId="0" fillId="2" borderId="11" xfId="0" applyFill="1" applyBorder="1" applyAlignment="1" applyProtection="1">
      <alignment horizontal="left" vertical="center"/>
    </xf>
    <xf numFmtId="0" fontId="16" fillId="2" borderId="0" xfId="0" applyFont="1" applyFill="1" applyBorder="1" applyAlignment="1" applyProtection="1">
      <alignment horizontal="left" vertical="center"/>
    </xf>
    <xf numFmtId="0" fontId="0" fillId="2" borderId="0" xfId="0" applyFill="1" applyBorder="1" applyAlignment="1" applyProtection="1">
      <alignment horizontal="left" vertical="center"/>
    </xf>
    <xf numFmtId="0" fontId="16" fillId="16" borderId="0" xfId="0" applyFont="1" applyFill="1" applyBorder="1" applyAlignment="1" applyProtection="1">
      <alignment horizontal="left" vertical="center" indent="3"/>
      <protection locked="0"/>
    </xf>
    <xf numFmtId="0" fontId="0" fillId="16" borderId="0" xfId="0" applyFill="1" applyBorder="1" applyAlignment="1" applyProtection="1">
      <alignment horizontal="left" vertical="center" indent="3"/>
      <protection locked="0"/>
    </xf>
    <xf numFmtId="166" fontId="0" fillId="16" borderId="0" xfId="1" applyNumberFormat="1" applyFont="1" applyFill="1" applyAlignment="1" applyProtection="1">
      <alignment vertical="center"/>
      <protection locked="0"/>
    </xf>
    <xf numFmtId="0" fontId="16" fillId="2" borderId="0" xfId="0" applyFont="1" applyFill="1" applyAlignment="1" applyProtection="1">
      <alignment horizontal="center" vertical="center"/>
    </xf>
    <xf numFmtId="42" fontId="3" fillId="14" borderId="0" xfId="38" applyNumberFormat="1" applyFont="1" applyFill="1" applyBorder="1" applyAlignment="1" applyProtection="1">
      <alignment vertical="center"/>
    </xf>
    <xf numFmtId="42" fontId="20" fillId="14" borderId="0" xfId="38" applyNumberFormat="1" applyFont="1" applyFill="1" applyBorder="1" applyAlignment="1" applyProtection="1">
      <alignment vertical="center"/>
    </xf>
    <xf numFmtId="0" fontId="16" fillId="15" borderId="13" xfId="0" applyFont="1" applyFill="1" applyBorder="1" applyAlignment="1" applyProtection="1">
      <alignment horizontal="center" vertical="center"/>
    </xf>
    <xf numFmtId="0" fontId="16" fillId="15" borderId="10" xfId="0" applyFont="1" applyFill="1" applyBorder="1" applyAlignment="1" applyProtection="1">
      <alignment horizontal="center" vertical="center"/>
    </xf>
    <xf numFmtId="0" fontId="16" fillId="15" borderId="14" xfId="0" applyFont="1" applyFill="1" applyBorder="1" applyAlignment="1" applyProtection="1">
      <alignment horizontal="center" vertical="center"/>
    </xf>
    <xf numFmtId="166" fontId="0" fillId="2" borderId="0" xfId="0" applyNumberFormat="1" applyFill="1" applyAlignment="1" applyProtection="1">
      <alignment horizontal="left" vertical="center"/>
    </xf>
    <xf numFmtId="0" fontId="16" fillId="15" borderId="1" xfId="0" applyFont="1" applyFill="1" applyBorder="1" applyAlignment="1" applyProtection="1">
      <alignment horizontal="center" vertical="center"/>
    </xf>
    <xf numFmtId="0" fontId="16" fillId="15" borderId="1" xfId="0" applyFont="1" applyFill="1" applyBorder="1" applyAlignment="1" applyProtection="1">
      <alignment horizontal="center" vertical="center"/>
    </xf>
    <xf numFmtId="166" fontId="0" fillId="2" borderId="1" xfId="1" applyNumberFormat="1" applyFont="1" applyFill="1" applyBorder="1" applyAlignment="1" applyProtection="1">
      <alignment horizontal="center" vertical="center"/>
    </xf>
    <xf numFmtId="166" fontId="0" fillId="2" borderId="13" xfId="1" applyNumberFormat="1" applyFont="1" applyFill="1" applyBorder="1" applyAlignment="1" applyProtection="1">
      <alignment horizontal="center" vertical="center"/>
    </xf>
    <xf numFmtId="166" fontId="0" fillId="2" borderId="10" xfId="1" applyNumberFormat="1" applyFont="1" applyFill="1" applyBorder="1" applyAlignment="1" applyProtection="1">
      <alignment horizontal="center" vertical="center"/>
    </xf>
    <xf numFmtId="166" fontId="0" fillId="2" borderId="14" xfId="1" applyNumberFormat="1"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166" fontId="0" fillId="2" borderId="1" xfId="1" applyNumberFormat="1" applyFont="1" applyFill="1" applyBorder="1" applyAlignment="1" applyProtection="1">
      <alignment horizontal="center" vertical="center"/>
    </xf>
    <xf numFmtId="0" fontId="16" fillId="16" borderId="1" xfId="0" applyFont="1" applyFill="1" applyBorder="1" applyAlignment="1" applyProtection="1">
      <alignment horizontal="center" vertical="center"/>
      <protection locked="0"/>
    </xf>
    <xf numFmtId="166" fontId="16" fillId="16" borderId="1" xfId="1" applyNumberFormat="1" applyFont="1" applyFill="1" applyBorder="1" applyAlignment="1" applyProtection="1">
      <alignment horizontal="center" vertical="center"/>
      <protection locked="0"/>
    </xf>
    <xf numFmtId="166" fontId="0" fillId="16" borderId="13" xfId="1" applyNumberFormat="1" applyFont="1" applyFill="1" applyBorder="1" applyAlignment="1" applyProtection="1">
      <alignment horizontal="center" vertical="center"/>
      <protection locked="0"/>
    </xf>
    <xf numFmtId="166" fontId="0" fillId="16" borderId="10" xfId="1" applyNumberFormat="1" applyFont="1" applyFill="1" applyBorder="1" applyAlignment="1" applyProtection="1">
      <alignment horizontal="center" vertical="center"/>
      <protection locked="0"/>
    </xf>
    <xf numFmtId="166" fontId="0" fillId="16" borderId="14" xfId="1" applyNumberFormat="1" applyFont="1" applyFill="1" applyBorder="1" applyAlignment="1" applyProtection="1">
      <alignment horizontal="center" vertical="center"/>
      <protection locked="0"/>
    </xf>
    <xf numFmtId="0" fontId="16" fillId="15" borderId="1" xfId="0" applyFont="1" applyFill="1" applyBorder="1" applyAlignment="1" applyProtection="1">
      <alignment horizontal="center" vertical="center" wrapText="1"/>
    </xf>
    <xf numFmtId="44" fontId="0" fillId="2" borderId="0" xfId="38" applyFont="1" applyFill="1" applyAlignment="1" applyProtection="1">
      <alignment horizontal="left" vertical="center"/>
    </xf>
    <xf numFmtId="170" fontId="0" fillId="2" borderId="1" xfId="0" applyNumberFormat="1" applyFill="1" applyBorder="1" applyAlignment="1" applyProtection="1">
      <alignment vertical="center"/>
    </xf>
    <xf numFmtId="44" fontId="0" fillId="2" borderId="13" xfId="0" applyNumberFormat="1" applyFill="1" applyBorder="1" applyAlignment="1" applyProtection="1">
      <alignment horizontal="center" vertical="center"/>
    </xf>
    <xf numFmtId="44" fontId="0" fillId="2" borderId="14" xfId="0" applyNumberFormat="1" applyFill="1" applyBorder="1" applyAlignment="1" applyProtection="1">
      <alignment horizontal="center" vertical="center"/>
    </xf>
    <xf numFmtId="164" fontId="0" fillId="2" borderId="1" xfId="1" applyFont="1" applyFill="1" applyBorder="1" applyAlignment="1" applyProtection="1">
      <alignment vertical="center"/>
    </xf>
    <xf numFmtId="174" fontId="16" fillId="16" borderId="1" xfId="38" applyNumberFormat="1" applyFont="1" applyFill="1" applyBorder="1" applyAlignment="1" applyProtection="1">
      <alignment horizontal="center" vertical="center"/>
      <protection locked="0"/>
    </xf>
    <xf numFmtId="176" fontId="16" fillId="16" borderId="1" xfId="38" applyNumberFormat="1" applyFont="1" applyFill="1" applyBorder="1" applyAlignment="1" applyProtection="1">
      <alignment horizontal="center" vertical="center"/>
      <protection locked="0"/>
    </xf>
    <xf numFmtId="3" fontId="0" fillId="16" borderId="13" xfId="1" applyNumberFormat="1" applyFont="1" applyFill="1" applyBorder="1" applyAlignment="1" applyProtection="1">
      <alignment horizontal="center" vertical="center"/>
      <protection locked="0"/>
    </xf>
    <xf numFmtId="3" fontId="0" fillId="16" borderId="14" xfId="1" applyNumberFormat="1" applyFont="1" applyFill="1" applyBorder="1" applyAlignment="1" applyProtection="1">
      <alignment horizontal="center" vertical="center"/>
      <protection locked="0"/>
    </xf>
    <xf numFmtId="2" fontId="16" fillId="16" borderId="1" xfId="0" applyNumberFormat="1" applyFont="1" applyFill="1" applyBorder="1" applyAlignment="1" applyProtection="1">
      <alignment horizontal="center" vertical="center"/>
      <protection locked="0"/>
    </xf>
    <xf numFmtId="174" fontId="0" fillId="16" borderId="13" xfId="0" applyNumberFormat="1" applyFill="1" applyBorder="1" applyAlignment="1" applyProtection="1">
      <alignment horizontal="center" vertical="center"/>
      <protection locked="0"/>
    </xf>
    <xf numFmtId="174" fontId="0" fillId="16" borderId="14" xfId="0" applyNumberFormat="1" applyFill="1" applyBorder="1" applyAlignment="1" applyProtection="1">
      <alignment horizontal="center" vertical="center"/>
      <protection locked="0"/>
    </xf>
    <xf numFmtId="42" fontId="20" fillId="14" borderId="0" xfId="0" applyNumberFormat="1" applyFont="1" applyFill="1" applyBorder="1" applyAlignment="1" applyProtection="1">
      <alignment vertical="center"/>
    </xf>
  </cellXfs>
  <cellStyles count="40">
    <cellStyle name="bsbody" xfId="2"/>
    <cellStyle name="bsfoot" xfId="3"/>
    <cellStyle name="bshead" xfId="4"/>
    <cellStyle name="Comma" xfId="1" builtinId="3"/>
    <cellStyle name="Currency" xfId="38" builtinId="4"/>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GenJour#" xfId="5"/>
    <cellStyle name="GenJour1" xfId="6"/>
    <cellStyle name="GenJour2" xfId="7"/>
    <cellStyle name="GenJourBody" xfId="8"/>
    <cellStyle name="GenJourDate" xfId="9"/>
    <cellStyle name="GenJourDes" xfId="10"/>
    <cellStyle name="GenJourFoot" xfId="11"/>
    <cellStyle name="GenJourHead" xfId="12"/>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LedgBody" xfId="13"/>
    <cellStyle name="ledgerwkbk" xfId="14"/>
    <cellStyle name="LedgGreen" xfId="15"/>
    <cellStyle name="LedgHead" xfId="16"/>
    <cellStyle name="LedgSide" xfId="17"/>
    <cellStyle name="LedgYellow" xfId="18"/>
    <cellStyle name="Normal" xfId="0" builtinId="0"/>
    <cellStyle name="Percent" xfId="39" builtinId="5"/>
    <cellStyle name="POA" xfId="19"/>
    <cellStyle name="POAanswer" xfId="20"/>
    <cellStyle name="POAhead" xfId="21"/>
    <cellStyle name="trialbody" xfId="22"/>
    <cellStyle name="trialhead" xfId="23"/>
  </cellStyles>
  <dxfs count="2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Medium4"/>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tabSelected="1" zoomScale="130" zoomScaleNormal="130" zoomScalePageLayoutView="145" workbookViewId="0">
      <selection activeCell="B1" sqref="B1"/>
    </sheetView>
  </sheetViews>
  <sheetFormatPr defaultColWidth="0" defaultRowHeight="12.95" customHeight="1" zeroHeight="1"/>
  <cols>
    <col min="1" max="1" width="31" style="3" customWidth="1"/>
    <col min="2" max="2" width="26.42578125" style="3" customWidth="1"/>
    <col min="3" max="8" width="0" style="3" hidden="1" customWidth="1"/>
    <col min="9" max="16384" width="9.140625" style="3" hidden="1"/>
  </cols>
  <sheetData>
    <row r="1" spans="1:2" ht="21.75" customHeight="1">
      <c r="A1" s="1" t="s">
        <v>0</v>
      </c>
      <c r="B1" s="2" t="s">
        <v>95</v>
      </c>
    </row>
    <row r="2" spans="1:2" ht="21.75" customHeight="1">
      <c r="A2" s="1" t="s">
        <v>1</v>
      </c>
      <c r="B2" s="2">
        <v>11111</v>
      </c>
    </row>
    <row r="3" spans="1:2" ht="21.75" customHeight="1">
      <c r="A3" s="1" t="s">
        <v>2</v>
      </c>
      <c r="B3" s="4">
        <v>42989</v>
      </c>
    </row>
    <row r="4" spans="1:2" ht="12.95" hidden="1" customHeight="1"/>
    <row r="5" spans="1:2" ht="12.95" hidden="1" customHeight="1"/>
    <row r="6" spans="1:2" ht="12.75" hidden="1">
      <c r="A6" s="1" t="s">
        <v>3</v>
      </c>
    </row>
    <row r="7" spans="1:2" ht="12.95" hidden="1" customHeight="1"/>
    <row r="8" spans="1:2" ht="12.75" hidden="1">
      <c r="B8" s="3">
        <f>B2/10000</f>
        <v>1.1111</v>
      </c>
    </row>
    <row r="9" spans="1:2" ht="12.75" hidden="1">
      <c r="B9" s="3">
        <f>TRUNC(B8)</f>
        <v>1</v>
      </c>
    </row>
    <row r="10" spans="1:2" ht="12.75" hidden="1">
      <c r="B10" s="3">
        <f>B2/1000</f>
        <v>11.111000000000001</v>
      </c>
    </row>
    <row r="11" spans="1:2" ht="12.75" hidden="1">
      <c r="B11" s="3">
        <f>TRUNC(B10)</f>
        <v>11</v>
      </c>
    </row>
    <row r="12" spans="1:2" ht="12.75" hidden="1">
      <c r="B12" s="3">
        <f>B11-(B9*10)</f>
        <v>1</v>
      </c>
    </row>
    <row r="13" spans="1:2" ht="12.75" hidden="1">
      <c r="B13" s="3">
        <f>B2/100</f>
        <v>111.11</v>
      </c>
    </row>
    <row r="14" spans="1:2" ht="12.75" hidden="1">
      <c r="B14" s="3">
        <f>TRUNC(B13)</f>
        <v>111</v>
      </c>
    </row>
    <row r="15" spans="1:2" ht="12.75" hidden="1">
      <c r="B15" s="3">
        <f>B14-(B11*10)</f>
        <v>1</v>
      </c>
    </row>
    <row r="16" spans="1:2" ht="12.75" hidden="1">
      <c r="B16" s="3">
        <f>B2/10</f>
        <v>1111.0999999999999</v>
      </c>
    </row>
    <row r="17" spans="1:3" ht="12.75" hidden="1">
      <c r="B17" s="3">
        <f>TRUNC(B16)</f>
        <v>1111</v>
      </c>
    </row>
    <row r="18" spans="1:3" ht="12.75" hidden="1">
      <c r="B18" s="3">
        <f>B17-(B14*10)</f>
        <v>1</v>
      </c>
    </row>
    <row r="19" spans="1:3" ht="12.75" hidden="1">
      <c r="B19" s="3">
        <f>B2</f>
        <v>11111</v>
      </c>
    </row>
    <row r="20" spans="1:3" ht="12.75" hidden="1">
      <c r="B20" s="3">
        <f>TRUNC(B19)</f>
        <v>11111</v>
      </c>
    </row>
    <row r="21" spans="1:3" ht="12.75" hidden="1">
      <c r="B21" s="3">
        <f>B20-(B17*10)</f>
        <v>1</v>
      </c>
    </row>
    <row r="22" spans="1:3" ht="12.95" hidden="1" customHeight="1"/>
    <row r="23" spans="1:3" ht="12.75" hidden="1">
      <c r="B23" s="3">
        <f>B9+B12+B15+B18+B21</f>
        <v>5</v>
      </c>
    </row>
    <row r="24" spans="1:3" ht="12.95" hidden="1" customHeight="1"/>
    <row r="25" spans="1:3" ht="12.95" hidden="1" customHeight="1"/>
    <row r="26" spans="1:3" ht="12.75" hidden="1">
      <c r="A26" s="3">
        <v>1</v>
      </c>
      <c r="B26" s="3">
        <v>5</v>
      </c>
      <c r="C26" s="3">
        <f>IF(A26=$B$23,B26,0)</f>
        <v>0</v>
      </c>
    </row>
    <row r="27" spans="1:3" ht="12.75" hidden="1">
      <c r="A27" s="3">
        <v>2</v>
      </c>
      <c r="B27" s="3">
        <v>7</v>
      </c>
      <c r="C27" s="3">
        <f t="shared" ref="C27:C70" si="0">IF(A27=$B$23,B27,0)</f>
        <v>0</v>
      </c>
    </row>
    <row r="28" spans="1:3" ht="12.75" hidden="1">
      <c r="A28" s="3">
        <v>3</v>
      </c>
      <c r="B28" s="3">
        <v>6</v>
      </c>
      <c r="C28" s="3">
        <f t="shared" si="0"/>
        <v>0</v>
      </c>
    </row>
    <row r="29" spans="1:3" ht="12.75" hidden="1">
      <c r="A29" s="3">
        <v>4</v>
      </c>
      <c r="B29" s="3">
        <v>2</v>
      </c>
      <c r="C29" s="3">
        <f t="shared" si="0"/>
        <v>0</v>
      </c>
    </row>
    <row r="30" spans="1:3" ht="12.75" hidden="1">
      <c r="A30" s="3">
        <v>5</v>
      </c>
      <c r="B30" s="3">
        <v>9</v>
      </c>
      <c r="C30" s="3">
        <f t="shared" si="0"/>
        <v>9</v>
      </c>
    </row>
    <row r="31" spans="1:3" ht="12.75" hidden="1">
      <c r="A31" s="3">
        <v>6</v>
      </c>
      <c r="B31" s="3">
        <v>2</v>
      </c>
      <c r="C31" s="3">
        <f t="shared" si="0"/>
        <v>0</v>
      </c>
    </row>
    <row r="32" spans="1:3" ht="12.75" hidden="1">
      <c r="A32" s="3">
        <v>7</v>
      </c>
      <c r="B32" s="3">
        <v>3</v>
      </c>
      <c r="C32" s="3">
        <f t="shared" si="0"/>
        <v>0</v>
      </c>
    </row>
    <row r="33" spans="1:3" ht="12.75" hidden="1">
      <c r="A33" s="3">
        <v>8</v>
      </c>
      <c r="B33" s="3">
        <v>7</v>
      </c>
      <c r="C33" s="3">
        <f t="shared" si="0"/>
        <v>0</v>
      </c>
    </row>
    <row r="34" spans="1:3" ht="12.75" hidden="1">
      <c r="A34" s="3">
        <v>9</v>
      </c>
      <c r="B34" s="3">
        <v>3</v>
      </c>
      <c r="C34" s="3">
        <f t="shared" si="0"/>
        <v>0</v>
      </c>
    </row>
    <row r="35" spans="1:3" ht="12.75" hidden="1">
      <c r="A35" s="3">
        <v>10</v>
      </c>
      <c r="B35" s="3">
        <v>9</v>
      </c>
      <c r="C35" s="3">
        <f t="shared" si="0"/>
        <v>0</v>
      </c>
    </row>
    <row r="36" spans="1:3" ht="12.75" hidden="1">
      <c r="A36" s="3">
        <v>11</v>
      </c>
      <c r="B36" s="3">
        <v>7</v>
      </c>
      <c r="C36" s="3">
        <f t="shared" si="0"/>
        <v>0</v>
      </c>
    </row>
    <row r="37" spans="1:3" ht="12.75" hidden="1">
      <c r="A37" s="3">
        <v>12</v>
      </c>
      <c r="B37" s="3">
        <v>6</v>
      </c>
      <c r="C37" s="3">
        <f t="shared" si="0"/>
        <v>0</v>
      </c>
    </row>
    <row r="38" spans="1:3" ht="12.75" hidden="1">
      <c r="A38" s="3">
        <v>13</v>
      </c>
      <c r="B38" s="3">
        <v>6</v>
      </c>
      <c r="C38" s="3">
        <f t="shared" si="0"/>
        <v>0</v>
      </c>
    </row>
    <row r="39" spans="1:3" ht="12.75" hidden="1">
      <c r="A39" s="3">
        <v>14</v>
      </c>
      <c r="B39" s="3">
        <v>2</v>
      </c>
      <c r="C39" s="3">
        <f t="shared" si="0"/>
        <v>0</v>
      </c>
    </row>
    <row r="40" spans="1:3" ht="12.75" hidden="1">
      <c r="A40" s="3">
        <v>15</v>
      </c>
      <c r="B40" s="3">
        <v>5</v>
      </c>
      <c r="C40" s="3">
        <f t="shared" si="0"/>
        <v>0</v>
      </c>
    </row>
    <row r="41" spans="1:3" ht="12.75" hidden="1">
      <c r="A41" s="3">
        <v>16</v>
      </c>
      <c r="B41" s="3">
        <v>3</v>
      </c>
      <c r="C41" s="3">
        <f t="shared" si="0"/>
        <v>0</v>
      </c>
    </row>
    <row r="42" spans="1:3" ht="12.75" hidden="1">
      <c r="A42" s="3">
        <v>17</v>
      </c>
      <c r="B42" s="3">
        <v>7</v>
      </c>
      <c r="C42" s="3">
        <f t="shared" si="0"/>
        <v>0</v>
      </c>
    </row>
    <row r="43" spans="1:3" ht="12.75" hidden="1">
      <c r="A43" s="3">
        <v>18</v>
      </c>
      <c r="B43" s="3">
        <v>5</v>
      </c>
      <c r="C43" s="3">
        <f t="shared" si="0"/>
        <v>0</v>
      </c>
    </row>
    <row r="44" spans="1:3" ht="12.75" hidden="1">
      <c r="A44" s="3">
        <v>19</v>
      </c>
      <c r="B44" s="3">
        <v>5</v>
      </c>
      <c r="C44" s="3">
        <f t="shared" si="0"/>
        <v>0</v>
      </c>
    </row>
    <row r="45" spans="1:3" ht="12.75" hidden="1">
      <c r="A45" s="3">
        <v>20</v>
      </c>
      <c r="B45" s="3">
        <v>8</v>
      </c>
      <c r="C45" s="3">
        <f t="shared" si="0"/>
        <v>0</v>
      </c>
    </row>
    <row r="46" spans="1:3" ht="12.75" hidden="1">
      <c r="A46" s="3">
        <v>21</v>
      </c>
      <c r="B46" s="3">
        <v>9</v>
      </c>
      <c r="C46" s="3">
        <f t="shared" si="0"/>
        <v>0</v>
      </c>
    </row>
    <row r="47" spans="1:3" ht="12.75" hidden="1">
      <c r="A47" s="3">
        <v>22</v>
      </c>
      <c r="B47" s="3">
        <v>9</v>
      </c>
      <c r="C47" s="3">
        <f t="shared" si="0"/>
        <v>0</v>
      </c>
    </row>
    <row r="48" spans="1:3" ht="12.75" hidden="1">
      <c r="A48" s="3">
        <v>23</v>
      </c>
      <c r="B48" s="3">
        <v>8</v>
      </c>
      <c r="C48" s="3">
        <f t="shared" si="0"/>
        <v>0</v>
      </c>
    </row>
    <row r="49" spans="1:3" ht="12.75" hidden="1">
      <c r="A49" s="3">
        <v>24</v>
      </c>
      <c r="B49" s="3">
        <v>7</v>
      </c>
      <c r="C49" s="3">
        <f t="shared" si="0"/>
        <v>0</v>
      </c>
    </row>
    <row r="50" spans="1:3" ht="12.75" hidden="1">
      <c r="A50" s="3">
        <v>25</v>
      </c>
      <c r="B50" s="3">
        <v>2</v>
      </c>
      <c r="C50" s="3">
        <f t="shared" si="0"/>
        <v>0</v>
      </c>
    </row>
    <row r="51" spans="1:3" ht="12.75" hidden="1">
      <c r="A51" s="3">
        <v>26</v>
      </c>
      <c r="B51" s="3">
        <v>4</v>
      </c>
      <c r="C51" s="3">
        <f t="shared" si="0"/>
        <v>0</v>
      </c>
    </row>
    <row r="52" spans="1:3" ht="12.75" hidden="1">
      <c r="A52" s="3">
        <v>27</v>
      </c>
      <c r="B52" s="3">
        <v>3</v>
      </c>
      <c r="C52" s="3">
        <f t="shared" si="0"/>
        <v>0</v>
      </c>
    </row>
    <row r="53" spans="1:3" ht="12.75" hidden="1">
      <c r="A53" s="3">
        <v>28</v>
      </c>
      <c r="B53" s="3">
        <v>5</v>
      </c>
      <c r="C53" s="3">
        <f t="shared" si="0"/>
        <v>0</v>
      </c>
    </row>
    <row r="54" spans="1:3" ht="12.75" hidden="1">
      <c r="A54" s="3">
        <v>29</v>
      </c>
      <c r="B54" s="3">
        <v>5</v>
      </c>
      <c r="C54" s="3">
        <f t="shared" si="0"/>
        <v>0</v>
      </c>
    </row>
    <row r="55" spans="1:3" ht="12.75" hidden="1">
      <c r="A55" s="3">
        <v>30</v>
      </c>
      <c r="B55" s="3">
        <v>4</v>
      </c>
      <c r="C55" s="3">
        <f>IF(A55=$B$23,B55,0)</f>
        <v>0</v>
      </c>
    </row>
    <row r="56" spans="1:3" ht="12.75" hidden="1">
      <c r="A56" s="3">
        <v>31</v>
      </c>
      <c r="B56" s="3">
        <v>6</v>
      </c>
      <c r="C56" s="3">
        <f t="shared" si="0"/>
        <v>0</v>
      </c>
    </row>
    <row r="57" spans="1:3" ht="12.75" hidden="1">
      <c r="A57" s="3">
        <v>32</v>
      </c>
      <c r="B57" s="3">
        <v>6</v>
      </c>
      <c r="C57" s="3">
        <f t="shared" si="0"/>
        <v>0</v>
      </c>
    </row>
    <row r="58" spans="1:3" ht="12.75" hidden="1">
      <c r="A58" s="3">
        <v>33</v>
      </c>
      <c r="B58" s="3">
        <v>2</v>
      </c>
      <c r="C58" s="3">
        <f t="shared" si="0"/>
        <v>0</v>
      </c>
    </row>
    <row r="59" spans="1:3" ht="12.75" hidden="1">
      <c r="A59" s="3">
        <v>34</v>
      </c>
      <c r="B59" s="3">
        <v>7</v>
      </c>
      <c r="C59" s="3">
        <f t="shared" si="0"/>
        <v>0</v>
      </c>
    </row>
    <row r="60" spans="1:3" ht="12.75" hidden="1">
      <c r="A60" s="3">
        <v>35</v>
      </c>
      <c r="B60" s="3">
        <v>9</v>
      </c>
      <c r="C60" s="3">
        <f t="shared" si="0"/>
        <v>0</v>
      </c>
    </row>
    <row r="61" spans="1:3" ht="12.75" hidden="1">
      <c r="A61" s="3">
        <v>36</v>
      </c>
      <c r="B61" s="3">
        <v>7</v>
      </c>
      <c r="C61" s="3">
        <f t="shared" si="0"/>
        <v>0</v>
      </c>
    </row>
    <row r="62" spans="1:3" ht="12.75" hidden="1">
      <c r="A62" s="3">
        <v>37</v>
      </c>
      <c r="B62" s="3">
        <v>5</v>
      </c>
      <c r="C62" s="3">
        <f t="shared" si="0"/>
        <v>0</v>
      </c>
    </row>
    <row r="63" spans="1:3" ht="12.75" hidden="1">
      <c r="A63" s="3">
        <v>38</v>
      </c>
      <c r="B63" s="3">
        <v>5</v>
      </c>
      <c r="C63" s="3">
        <f t="shared" si="0"/>
        <v>0</v>
      </c>
    </row>
    <row r="64" spans="1:3" ht="12.75" hidden="1">
      <c r="A64" s="3">
        <v>39</v>
      </c>
      <c r="B64" s="3">
        <v>2</v>
      </c>
      <c r="C64" s="3">
        <f t="shared" si="0"/>
        <v>0</v>
      </c>
    </row>
    <row r="65" spans="1:8" ht="12.75" hidden="1">
      <c r="A65" s="3">
        <v>40</v>
      </c>
      <c r="B65" s="3">
        <v>2</v>
      </c>
      <c r="C65" s="3">
        <f t="shared" si="0"/>
        <v>0</v>
      </c>
    </row>
    <row r="66" spans="1:8" ht="12.75" hidden="1">
      <c r="A66" s="3">
        <v>41</v>
      </c>
      <c r="B66" s="3">
        <v>6</v>
      </c>
      <c r="C66" s="3">
        <f t="shared" si="0"/>
        <v>0</v>
      </c>
    </row>
    <row r="67" spans="1:8" ht="12.75" hidden="1">
      <c r="A67" s="3">
        <v>42</v>
      </c>
      <c r="B67" s="3">
        <v>9</v>
      </c>
      <c r="C67" s="3">
        <f t="shared" si="0"/>
        <v>0</v>
      </c>
    </row>
    <row r="68" spans="1:8" ht="12.75" hidden="1">
      <c r="A68" s="3">
        <v>43</v>
      </c>
      <c r="B68" s="3">
        <v>8</v>
      </c>
      <c r="C68" s="3">
        <f t="shared" si="0"/>
        <v>0</v>
      </c>
    </row>
    <row r="69" spans="1:8" ht="12.75" hidden="1">
      <c r="A69" s="3">
        <v>44</v>
      </c>
      <c r="B69" s="3">
        <v>9</v>
      </c>
      <c r="C69" s="3">
        <f t="shared" si="0"/>
        <v>0</v>
      </c>
    </row>
    <row r="70" spans="1:8" ht="12.75" hidden="1">
      <c r="A70" s="3">
        <v>45</v>
      </c>
      <c r="B70" s="3">
        <v>8</v>
      </c>
      <c r="C70" s="3">
        <f t="shared" si="0"/>
        <v>0</v>
      </c>
    </row>
    <row r="71" spans="1:8" ht="12.75" hidden="1">
      <c r="A71" s="3" t="s">
        <v>4</v>
      </c>
      <c r="C71" s="5">
        <f>SUM(C26:C70)</f>
        <v>9</v>
      </c>
      <c r="D71" s="5">
        <f>B23</f>
        <v>5</v>
      </c>
      <c r="E71" s="5">
        <f>B14</f>
        <v>111</v>
      </c>
      <c r="F71" s="5">
        <f>B17</f>
        <v>1111</v>
      </c>
      <c r="G71" s="5">
        <f>B19</f>
        <v>11111</v>
      </c>
      <c r="H71" s="5">
        <f>G71/C71</f>
        <v>1234.5555555555557</v>
      </c>
    </row>
    <row r="72" spans="1:8" ht="12.75" hidden="1">
      <c r="C72" s="5">
        <f>D72/9</f>
        <v>1.3888888888888888</v>
      </c>
      <c r="D72" s="5">
        <f>D71*2.5</f>
        <v>12.5</v>
      </c>
      <c r="E72" s="5">
        <f>E71*2.5</f>
        <v>277.5</v>
      </c>
      <c r="F72" s="5">
        <f>F71*2.5</f>
        <v>2777.5</v>
      </c>
      <c r="G72" s="5">
        <f>G71*2.5</f>
        <v>27777.5</v>
      </c>
      <c r="H72" s="5">
        <f>H71*2.5</f>
        <v>3086.3888888888891</v>
      </c>
    </row>
    <row r="73" spans="1:8" ht="12.75" hidden="1">
      <c r="C73" s="5">
        <f>(C72+C71)/2</f>
        <v>5.1944444444444446</v>
      </c>
      <c r="D73" s="5">
        <f>$C$73*D71</f>
        <v>25.972222222222221</v>
      </c>
      <c r="E73" s="5">
        <f>$C$73*E71</f>
        <v>576.58333333333337</v>
      </c>
      <c r="F73" s="5">
        <f>$C$73*F71</f>
        <v>5771.0277777777783</v>
      </c>
      <c r="G73" s="5">
        <f>$C$73*G71</f>
        <v>57715.472222222226</v>
      </c>
      <c r="H73" s="5">
        <f>$C$73*H71</f>
        <v>6412.8302469135806</v>
      </c>
    </row>
    <row r="74" spans="1:8" ht="12.75" hidden="1">
      <c r="C74" s="5">
        <f>SUM(C72:C73)</f>
        <v>6.5833333333333339</v>
      </c>
      <c r="D74" s="5">
        <f>$C$74*C71</f>
        <v>59.250000000000007</v>
      </c>
      <c r="E74" s="5">
        <f>$C$74*D71</f>
        <v>32.916666666666671</v>
      </c>
      <c r="F74" s="5">
        <f>$C$74*E71</f>
        <v>730.75000000000011</v>
      </c>
      <c r="G74" s="5">
        <f>$C$74*F71</f>
        <v>7314.0833333333339</v>
      </c>
      <c r="H74" s="5">
        <f>$C$74*G71</f>
        <v>73147.416666666672</v>
      </c>
    </row>
  </sheetData>
  <sheetProtection password="BB06" sheet="1" objects="1" scenarios="1"/>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1"/>
  <sheetViews>
    <sheetView zoomScale="150" zoomScaleNormal="150" workbookViewId="0"/>
  </sheetViews>
  <sheetFormatPr defaultColWidth="0" defaultRowHeight="12.75" zeroHeight="1"/>
  <cols>
    <col min="1" max="1" width="8.28515625" style="27" customWidth="1"/>
    <col min="2" max="2" width="2.28515625" style="30" customWidth="1"/>
    <col min="3" max="3" width="13.85546875" style="30" customWidth="1"/>
    <col min="4" max="4" width="25.7109375" style="30" customWidth="1"/>
    <col min="5" max="5" width="21.42578125" style="30" customWidth="1"/>
    <col min="6" max="6" width="3" style="30" customWidth="1"/>
    <col min="7" max="8" width="13.85546875" style="30" customWidth="1"/>
    <col min="9" max="9" width="2.85546875" style="30" customWidth="1"/>
    <col min="10" max="10" width="4.140625" style="30" customWidth="1"/>
    <col min="11" max="11" width="5" style="29" customWidth="1"/>
    <col min="12" max="12" width="9.5703125" style="29" hidden="1"/>
    <col min="13" max="13" width="16.7109375" style="29" hidden="1"/>
    <col min="14" max="14" width="9.5703125" style="29" hidden="1"/>
    <col min="15" max="15" width="8.28515625" style="27" hidden="1"/>
    <col min="16" max="16" width="2.28515625" style="30" hidden="1"/>
    <col min="17" max="17" width="13.85546875" style="30" hidden="1"/>
    <col min="18" max="18" width="25.7109375" style="30" hidden="1"/>
    <col min="19" max="19" width="21.140625" style="30" hidden="1"/>
    <col min="20" max="20" width="3" style="30" hidden="1"/>
    <col min="21" max="22" width="13.85546875" style="30" hidden="1"/>
    <col min="23" max="23" width="2.85546875" style="30" hidden="1"/>
    <col min="24" max="26" width="4.140625" style="30" hidden="1"/>
    <col min="27" max="27" width="12.140625" style="30" hidden="1"/>
    <col min="28" max="28" width="11.28515625" style="30" hidden="1"/>
    <col min="29" max="29" width="13" style="30" hidden="1"/>
    <col min="30" max="30" width="12.28515625" style="30" hidden="1"/>
    <col min="31" max="33" width="9.140625" style="30" hidden="1"/>
    <col min="34" max="34" width="10" style="30" hidden="1"/>
    <col min="35" max="16384" width="9.140625" style="30" hidden="1"/>
  </cols>
  <sheetData>
    <row r="1" spans="1:37" ht="60" customHeight="1">
      <c r="B1" s="80" t="s">
        <v>82</v>
      </c>
      <c r="C1" s="80"/>
      <c r="D1" s="80"/>
      <c r="E1" s="80"/>
      <c r="F1" s="80"/>
      <c r="G1" s="80"/>
      <c r="H1" s="80"/>
      <c r="I1" s="80"/>
      <c r="J1" s="80"/>
      <c r="K1" s="28"/>
      <c r="L1" s="28"/>
    </row>
    <row r="2" spans="1:37">
      <c r="B2" s="31" t="s">
        <v>12</v>
      </c>
    </row>
    <row r="3" spans="1:37" ht="78" customHeight="1">
      <c r="B3" s="65" t="str">
        <f>P3</f>
        <v>Enter Your Name Here Company is a toy company that breaks its operations into three main segments - manufacturing, retail, and financial.  Initially Enter Your Name Here Company began its operations in the financial sector during 20X1 to diversify and hedge against potential drops in the toy market.  At the beginning of 20X3, the company CEO determined that the operations in the financial sector were hindering the company's growth due to a lack of expertise in the financial sector.  As a strategic shift Enter Your Name Here Company sold off its financial sector at the end of 20X3.</v>
      </c>
      <c r="C3" s="65"/>
      <c r="D3" s="65"/>
      <c r="E3" s="65"/>
      <c r="F3" s="65"/>
      <c r="G3" s="65"/>
      <c r="H3" s="65"/>
      <c r="I3" s="65"/>
      <c r="J3" s="65"/>
      <c r="K3" s="32"/>
      <c r="L3" s="32"/>
      <c r="M3" s="32"/>
      <c r="N3" s="32"/>
      <c r="P3" s="65" t="str">
        <f>CONCATENATE(Identification!$B$1,AK8,Identification!$B$1,AK9,Identification!$B$1,AK10)</f>
        <v>Enter Your Name Here Company is a toy company that breaks its operations into three main segments - manufacturing, retail, and financial.  Initially Enter Your Name Here Company began its operations in the financial sector during 20X1 to diversify and hedge against potential drops in the toy market.  At the beginning of 20X3, the company CEO determined that the operations in the financial sector were hindering the company's growth due to a lack of expertise in the financial sector.  As a strategic shift Enter Your Name Here Company sold off its financial sector at the end of 20X3.</v>
      </c>
      <c r="Q3" s="65"/>
      <c r="R3" s="65"/>
      <c r="S3" s="65"/>
      <c r="T3" s="65"/>
      <c r="U3" s="65"/>
      <c r="V3" s="65"/>
      <c r="W3" s="65"/>
      <c r="X3" s="65"/>
      <c r="Y3" s="33"/>
      <c r="Z3" s="33"/>
    </row>
    <row r="4" spans="1:37" ht="13.5" thickBot="1">
      <c r="B4" s="33"/>
      <c r="C4" s="33"/>
      <c r="D4" s="33"/>
      <c r="E4" s="33"/>
      <c r="F4" s="33"/>
      <c r="G4" s="33"/>
      <c r="H4" s="33"/>
      <c r="I4" s="33"/>
      <c r="J4" s="33"/>
      <c r="K4" s="32"/>
      <c r="L4" s="32"/>
      <c r="M4" s="32" t="str">
        <f>$U$5</f>
        <v>Under Discontinued Operations</v>
      </c>
      <c r="N4" s="32"/>
      <c r="P4" s="33"/>
      <c r="Q4" s="33"/>
      <c r="R4" s="33"/>
      <c r="S4" s="33"/>
      <c r="T4" s="33"/>
      <c r="U4" s="33"/>
      <c r="V4" s="33"/>
      <c r="W4" s="33"/>
      <c r="X4" s="33"/>
      <c r="Y4" s="33"/>
      <c r="Z4" s="33"/>
    </row>
    <row r="5" spans="1:37" ht="39" customHeight="1" thickBot="1">
      <c r="A5" s="37" t="s">
        <v>5</v>
      </c>
      <c r="B5" s="66" t="str">
        <f>P5</f>
        <v>How should Enter Your Name Here Company account for the sale of its financial operations?</v>
      </c>
      <c r="C5" s="66"/>
      <c r="D5" s="66"/>
      <c r="E5" s="34"/>
      <c r="F5" s="35"/>
      <c r="G5" s="87"/>
      <c r="H5" s="85"/>
      <c r="I5" s="35"/>
      <c r="J5" s="33"/>
      <c r="K5" s="32"/>
      <c r="L5" s="32"/>
      <c r="M5" s="36" t="s">
        <v>84</v>
      </c>
      <c r="N5" s="32"/>
      <c r="O5" s="27" t="s">
        <v>5</v>
      </c>
      <c r="P5" s="66" t="str">
        <f>CONCATENATE("How should ",Identification!$B$1, " Company account for the sale of its financial operations?")</f>
        <v>How should Enter Your Name Here Company account for the sale of its financial operations?</v>
      </c>
      <c r="Q5" s="66"/>
      <c r="R5" s="66"/>
      <c r="S5" s="34"/>
      <c r="T5" s="35"/>
      <c r="U5" s="62" t="s">
        <v>94</v>
      </c>
      <c r="V5" s="63"/>
      <c r="W5" s="35"/>
      <c r="X5" s="33"/>
      <c r="Y5" s="33"/>
      <c r="Z5" s="33"/>
    </row>
    <row r="6" spans="1:37">
      <c r="AB6" s="69" t="s">
        <v>56</v>
      </c>
      <c r="AC6" s="70"/>
      <c r="AD6" s="70"/>
    </row>
    <row r="7" spans="1:37" ht="74.25" customHeight="1">
      <c r="A7" s="37" t="s">
        <v>6</v>
      </c>
      <c r="B7" s="66" t="str">
        <f>P7</f>
        <v>A new staff accountant prepared the segmented income statement below for the year ended December 31, 20X3.  Upon review you noticed that the income statement did not properly show the sale of the financial sector as a discontinued operation.  Using the information presented in the income statement and the additional notes below, complete the blank income statement appropriately breaking out the discontinued operation.</v>
      </c>
      <c r="C7" s="66"/>
      <c r="D7" s="66"/>
      <c r="E7" s="66"/>
      <c r="F7" s="66"/>
      <c r="G7" s="66"/>
      <c r="H7" s="66"/>
      <c r="I7" s="66"/>
      <c r="J7" s="66"/>
      <c r="K7" s="38"/>
      <c r="L7" s="38"/>
      <c r="M7" s="38"/>
      <c r="N7" s="38"/>
      <c r="O7" s="37" t="s">
        <v>6</v>
      </c>
      <c r="P7" s="66" t="s">
        <v>92</v>
      </c>
      <c r="Q7" s="66"/>
      <c r="R7" s="66"/>
      <c r="S7" s="66"/>
      <c r="T7" s="66"/>
      <c r="U7" s="66"/>
      <c r="V7" s="66"/>
      <c r="W7" s="66"/>
      <c r="X7" s="66"/>
      <c r="Y7" s="34"/>
      <c r="Z7" s="34"/>
      <c r="AA7" s="31" t="s">
        <v>78</v>
      </c>
      <c r="AB7" s="31" t="s">
        <v>55</v>
      </c>
      <c r="AC7" s="31" t="s">
        <v>54</v>
      </c>
      <c r="AD7" s="31" t="s">
        <v>53</v>
      </c>
    </row>
    <row r="8" spans="1:37">
      <c r="AA8" s="30">
        <f>AB8*AC8*AD8</f>
        <v>990000</v>
      </c>
      <c r="AB8" s="39">
        <f>ROUND(V15/AC8,0)</f>
        <v>110000</v>
      </c>
      <c r="AC8" s="40">
        <v>100</v>
      </c>
      <c r="AD8" s="41">
        <f>ROUND(AE8/100,2)</f>
        <v>0.09</v>
      </c>
      <c r="AE8" s="5">
        <f>Identification!C71</f>
        <v>9</v>
      </c>
      <c r="AF8" s="5">
        <f>Identification!D71</f>
        <v>5</v>
      </c>
      <c r="AG8" s="5">
        <f>Identification!E71</f>
        <v>111</v>
      </c>
      <c r="AH8" s="5">
        <f>Identification!F71</f>
        <v>1111</v>
      </c>
      <c r="AI8" s="5">
        <f>Identification!G71</f>
        <v>11111</v>
      </c>
      <c r="AJ8" s="5">
        <f>Identification!H71</f>
        <v>1234.5555555555557</v>
      </c>
      <c r="AK8" s="30" t="s">
        <v>13</v>
      </c>
    </row>
    <row r="9" spans="1:37" ht="9.75" customHeight="1">
      <c r="D9" s="7"/>
      <c r="E9" s="7"/>
      <c r="F9" s="7"/>
      <c r="G9" s="7"/>
      <c r="H9" s="7"/>
      <c r="I9" s="7"/>
      <c r="R9" s="7"/>
      <c r="S9" s="7"/>
      <c r="T9" s="7"/>
      <c r="U9" s="7"/>
      <c r="V9" s="7"/>
      <c r="W9" s="7"/>
      <c r="AB9" s="69" t="s">
        <v>9</v>
      </c>
      <c r="AC9" s="70"/>
      <c r="AD9" s="71"/>
      <c r="AE9" s="5">
        <f>Identification!C72</f>
        <v>1.3888888888888888</v>
      </c>
      <c r="AF9" s="5">
        <f>Identification!D72</f>
        <v>12.5</v>
      </c>
      <c r="AG9" s="5">
        <f>Identification!E72</f>
        <v>277.5</v>
      </c>
      <c r="AH9" s="5">
        <f>Identification!F72</f>
        <v>2777.5</v>
      </c>
      <c r="AI9" s="5">
        <f>Identification!G72</f>
        <v>27777.5</v>
      </c>
      <c r="AJ9" s="5">
        <f>Identification!H72</f>
        <v>3086.3888888888891</v>
      </c>
      <c r="AK9" s="61" t="s">
        <v>87</v>
      </c>
    </row>
    <row r="10" spans="1:37" s="88" customFormat="1" ht="15.95" customHeight="1">
      <c r="A10" s="37"/>
      <c r="D10" s="64" t="str">
        <f>R10</f>
        <v>Enter Your Name Here Company</v>
      </c>
      <c r="E10" s="64"/>
      <c r="F10" s="64"/>
      <c r="G10" s="64"/>
      <c r="H10" s="64"/>
      <c r="I10" s="64"/>
      <c r="K10" s="32"/>
      <c r="L10" s="32"/>
      <c r="M10" s="32"/>
      <c r="N10" s="32"/>
      <c r="O10" s="37"/>
      <c r="R10" s="64" t="str">
        <f>CONCATENATE(Identification!$B$1, " Company")</f>
        <v>Enter Your Name Here Company</v>
      </c>
      <c r="S10" s="64"/>
      <c r="T10" s="64"/>
      <c r="U10" s="64"/>
      <c r="V10" s="64"/>
      <c r="W10" s="64"/>
      <c r="AB10" s="89" t="s">
        <v>55</v>
      </c>
      <c r="AC10" s="89" t="s">
        <v>54</v>
      </c>
      <c r="AE10" s="90">
        <f>Identification!C73</f>
        <v>5.1944444444444446</v>
      </c>
      <c r="AF10" s="90">
        <f>Identification!D73</f>
        <v>25.972222222222221</v>
      </c>
      <c r="AG10" s="90">
        <f>Identification!E73</f>
        <v>576.58333333333337</v>
      </c>
      <c r="AH10" s="90">
        <f>Identification!F73</f>
        <v>5771.0277777777783</v>
      </c>
      <c r="AI10" s="90">
        <f>Identification!G73</f>
        <v>57715.472222222226</v>
      </c>
      <c r="AJ10" s="90">
        <f>Identification!H73</f>
        <v>6412.8302469135806</v>
      </c>
      <c r="AK10" s="91" t="s">
        <v>88</v>
      </c>
    </row>
    <row r="11" spans="1:37" s="88" customFormat="1" ht="15.95" customHeight="1">
      <c r="A11" s="37"/>
      <c r="D11" s="64" t="str">
        <f>R11</f>
        <v>Income Statement</v>
      </c>
      <c r="E11" s="64"/>
      <c r="F11" s="64"/>
      <c r="G11" s="64"/>
      <c r="H11" s="64"/>
      <c r="I11" s="64"/>
      <c r="K11" s="32"/>
      <c r="L11" s="32"/>
      <c r="M11" s="32"/>
      <c r="N11" s="32"/>
      <c r="O11" s="37"/>
      <c r="R11" s="64" t="s">
        <v>17</v>
      </c>
      <c r="S11" s="64"/>
      <c r="T11" s="64"/>
      <c r="U11" s="64"/>
      <c r="V11" s="64"/>
      <c r="W11" s="64"/>
      <c r="AB11" s="92">
        <f>AB8*2.5</f>
        <v>275000</v>
      </c>
      <c r="AC11" s="93">
        <f>AE13*10</f>
        <v>90</v>
      </c>
      <c r="AE11" s="90">
        <f>Identification!C74</f>
        <v>6.5833333333333339</v>
      </c>
      <c r="AF11" s="90">
        <f>Identification!D74</f>
        <v>59.250000000000007</v>
      </c>
      <c r="AG11" s="90">
        <f>Identification!E74</f>
        <v>32.916666666666671</v>
      </c>
      <c r="AH11" s="90">
        <f>Identification!F74</f>
        <v>730.75000000000011</v>
      </c>
      <c r="AI11" s="90">
        <f>Identification!G74</f>
        <v>7314.0833333333339</v>
      </c>
      <c r="AJ11" s="90">
        <f>Identification!H74</f>
        <v>73147.416666666672</v>
      </c>
    </row>
    <row r="12" spans="1:37" s="88" customFormat="1" ht="15.95" customHeight="1">
      <c r="A12" s="37"/>
      <c r="D12" s="64" t="str">
        <f>R12</f>
        <v>For the Year Ending December 31, 20X3</v>
      </c>
      <c r="E12" s="64"/>
      <c r="F12" s="64"/>
      <c r="G12" s="64"/>
      <c r="H12" s="64"/>
      <c r="I12" s="64"/>
      <c r="K12" s="32"/>
      <c r="L12" s="32"/>
      <c r="M12" s="32"/>
      <c r="N12" s="32"/>
      <c r="O12" s="37"/>
      <c r="R12" s="64" t="s">
        <v>18</v>
      </c>
      <c r="S12" s="64"/>
      <c r="T12" s="64"/>
      <c r="U12" s="64"/>
      <c r="V12" s="64"/>
      <c r="W12" s="64"/>
      <c r="AD12" s="89" t="s">
        <v>57</v>
      </c>
    </row>
    <row r="13" spans="1:37" ht="9" customHeight="1">
      <c r="D13" s="7"/>
      <c r="E13" s="7"/>
      <c r="F13" s="7"/>
      <c r="G13" s="7"/>
      <c r="H13" s="7"/>
      <c r="I13" s="7"/>
      <c r="R13" s="7"/>
      <c r="S13" s="7"/>
      <c r="T13" s="7"/>
      <c r="U13" s="7"/>
      <c r="V13" s="7"/>
      <c r="W13" s="7"/>
      <c r="AD13" s="42">
        <f>ROUND(U50/2,0)</f>
        <v>241313</v>
      </c>
      <c r="AE13" s="5">
        <f>ROUND(AE8,0)</f>
        <v>9</v>
      </c>
      <c r="AF13" s="5"/>
      <c r="AG13" s="5">
        <f>ROUND(AG9,0)</f>
        <v>278</v>
      </c>
      <c r="AH13" s="5">
        <f>ROUND(AG8,0)</f>
        <v>111</v>
      </c>
      <c r="AI13" s="5"/>
      <c r="AJ13" s="5"/>
    </row>
    <row r="14" spans="1:37" ht="15.95" customHeight="1">
      <c r="D14" s="22"/>
      <c r="E14" s="22"/>
      <c r="F14" s="22"/>
      <c r="G14" s="9"/>
      <c r="H14" s="10"/>
      <c r="I14" s="11"/>
      <c r="R14" s="22"/>
      <c r="S14" s="22"/>
      <c r="T14" s="22"/>
      <c r="U14" s="9"/>
      <c r="V14" s="10"/>
      <c r="W14" s="11"/>
      <c r="AB14" s="31" t="s">
        <v>79</v>
      </c>
      <c r="AC14" s="31" t="s">
        <v>66</v>
      </c>
      <c r="AD14" s="31" t="s">
        <v>67</v>
      </c>
      <c r="AE14" s="5"/>
      <c r="AF14" s="5"/>
      <c r="AG14" s="5">
        <f>ROUND(AG13/ROUND(AE8,0),0)</f>
        <v>31</v>
      </c>
      <c r="AH14" s="5">
        <f>AH13*100000</f>
        <v>11100000</v>
      </c>
      <c r="AI14" s="5"/>
      <c r="AJ14" s="5"/>
    </row>
    <row r="15" spans="1:37" ht="15.95" customHeight="1">
      <c r="D15" s="24" t="str">
        <f t="shared" ref="D15:D27" si="0">R15</f>
        <v>Sales</v>
      </c>
      <c r="E15" s="24"/>
      <c r="F15" s="22"/>
      <c r="G15" s="9"/>
      <c r="H15" s="10">
        <f>V15</f>
        <v>11000000</v>
      </c>
      <c r="I15" s="11"/>
      <c r="R15" s="24" t="s">
        <v>19</v>
      </c>
      <c r="S15" s="24"/>
      <c r="T15" s="22"/>
      <c r="U15" s="9"/>
      <c r="V15" s="10">
        <f>AH15</f>
        <v>11000000</v>
      </c>
      <c r="W15" s="11"/>
      <c r="AB15" s="43">
        <f>ROUND(U105*5,0)</f>
        <v>59</v>
      </c>
      <c r="AC15" s="44">
        <f>ROUND(V27*1.5,0)</f>
        <v>5442938</v>
      </c>
      <c r="AD15" s="39">
        <f>AB11*0.5</f>
        <v>137500</v>
      </c>
      <c r="AE15" s="5"/>
      <c r="AF15" s="5"/>
      <c r="AG15" s="5">
        <f>AG14*AE8</f>
        <v>279</v>
      </c>
      <c r="AH15" s="6">
        <f>ROUND(AH14,-6)</f>
        <v>11000000</v>
      </c>
      <c r="AI15" s="5"/>
      <c r="AJ15" s="5"/>
    </row>
    <row r="16" spans="1:37" ht="15.95" customHeight="1">
      <c r="D16" s="24" t="str">
        <f t="shared" si="0"/>
        <v>Cost of goods sold</v>
      </c>
      <c r="E16" s="24"/>
      <c r="F16" s="12"/>
      <c r="G16" s="10"/>
      <c r="H16" s="14">
        <f>V16</f>
        <v>3849999.9999999995</v>
      </c>
      <c r="I16" s="11"/>
      <c r="R16" s="24" t="s">
        <v>14</v>
      </c>
      <c r="S16" s="24"/>
      <c r="T16" s="12"/>
      <c r="U16" s="10"/>
      <c r="V16" s="19">
        <f>V15*0.35</f>
        <v>3849999.9999999995</v>
      </c>
      <c r="W16" s="11"/>
      <c r="AE16" s="5"/>
      <c r="AF16" s="5"/>
      <c r="AG16" s="5"/>
      <c r="AH16" s="5"/>
      <c r="AI16" s="5"/>
      <c r="AJ16" s="5"/>
    </row>
    <row r="17" spans="1:23" ht="15.95" customHeight="1">
      <c r="D17" s="24" t="str">
        <f t="shared" si="0"/>
        <v>Gross profit</v>
      </c>
      <c r="E17" s="24"/>
      <c r="F17" s="12"/>
      <c r="G17" s="13"/>
      <c r="H17" s="10">
        <f>H15-H16</f>
        <v>7150000</v>
      </c>
      <c r="I17" s="11"/>
      <c r="R17" s="24" t="s">
        <v>24</v>
      </c>
      <c r="S17" s="24"/>
      <c r="T17" s="12"/>
      <c r="U17" s="13"/>
      <c r="V17" s="15">
        <f>V15-V16</f>
        <v>7150000</v>
      </c>
      <c r="W17" s="11"/>
    </row>
    <row r="18" spans="1:23" ht="15.95" customHeight="1">
      <c r="D18" s="24" t="str">
        <f t="shared" si="0"/>
        <v>Operating expenses</v>
      </c>
      <c r="E18" s="24"/>
      <c r="F18" s="12"/>
      <c r="G18" s="10"/>
      <c r="H18" s="10"/>
      <c r="I18" s="11"/>
      <c r="R18" s="24" t="s">
        <v>25</v>
      </c>
      <c r="S18" s="24"/>
      <c r="T18" s="12"/>
      <c r="U18" s="10"/>
      <c r="V18" s="10"/>
      <c r="W18" s="11"/>
    </row>
    <row r="19" spans="1:23" ht="15.95" customHeight="1">
      <c r="D19" s="23" t="str">
        <f t="shared" si="0"/>
        <v>Salaries</v>
      </c>
      <c r="E19" s="13"/>
      <c r="F19" s="22"/>
      <c r="G19" s="10">
        <f>U19</f>
        <v>715000</v>
      </c>
      <c r="H19" s="10"/>
      <c r="I19" s="11"/>
      <c r="R19" s="23" t="s">
        <v>20</v>
      </c>
      <c r="S19" s="13"/>
      <c r="T19" s="22"/>
      <c r="U19" s="13">
        <f>ROUND(V17*0.1,-3)</f>
        <v>715000</v>
      </c>
      <c r="V19" s="10"/>
      <c r="W19" s="11"/>
    </row>
    <row r="20" spans="1:23" ht="15.95" customHeight="1">
      <c r="D20" s="23" t="str">
        <f t="shared" si="0"/>
        <v>Rent</v>
      </c>
      <c r="E20" s="13"/>
      <c r="F20" s="22"/>
      <c r="G20" s="13">
        <f>U20</f>
        <v>1072500</v>
      </c>
      <c r="H20" s="10"/>
      <c r="I20" s="11"/>
      <c r="R20" s="23" t="s">
        <v>21</v>
      </c>
      <c r="S20" s="13"/>
      <c r="T20" s="22"/>
      <c r="U20" s="13">
        <f>V17*0.15</f>
        <v>1072500</v>
      </c>
      <c r="V20" s="10"/>
      <c r="W20" s="11"/>
    </row>
    <row r="21" spans="1:23" ht="15.95" customHeight="1">
      <c r="D21" s="23" t="str">
        <f t="shared" si="0"/>
        <v>Other</v>
      </c>
      <c r="E21" s="13"/>
      <c r="F21" s="22"/>
      <c r="G21" s="14">
        <f>U21</f>
        <v>536250</v>
      </c>
      <c r="H21" s="14">
        <f>SUM(G19:G21)</f>
        <v>2323750</v>
      </c>
      <c r="I21" s="11"/>
      <c r="R21" s="23" t="s">
        <v>22</v>
      </c>
      <c r="S21" s="13"/>
      <c r="T21" s="22"/>
      <c r="U21" s="14">
        <f>U20*0.5</f>
        <v>536250</v>
      </c>
      <c r="V21" s="19">
        <f>SUM(U19:U21)</f>
        <v>2323750</v>
      </c>
      <c r="W21" s="11"/>
    </row>
    <row r="22" spans="1:23" ht="15.95" customHeight="1">
      <c r="D22" s="24" t="str">
        <f t="shared" si="0"/>
        <v>Income from operations</v>
      </c>
      <c r="E22" s="24"/>
      <c r="F22" s="22"/>
      <c r="G22" s="14"/>
      <c r="H22" s="10">
        <f>H17-H21</f>
        <v>4826250</v>
      </c>
      <c r="I22" s="11"/>
      <c r="R22" s="24" t="s">
        <v>26</v>
      </c>
      <c r="S22" s="24"/>
      <c r="T22" s="22"/>
      <c r="U22" s="14"/>
      <c r="V22" s="15">
        <f>V17-V21</f>
        <v>4826250</v>
      </c>
      <c r="W22" s="11"/>
    </row>
    <row r="23" spans="1:23" ht="15.95" customHeight="1">
      <c r="D23" s="24" t="str">
        <f t="shared" si="0"/>
        <v>Other revenues and gains</v>
      </c>
      <c r="E23" s="24"/>
      <c r="F23" s="22"/>
      <c r="G23" s="14"/>
      <c r="H23" s="15"/>
      <c r="I23" s="11"/>
      <c r="R23" s="24" t="s">
        <v>27</v>
      </c>
      <c r="S23" s="24"/>
      <c r="T23" s="22"/>
      <c r="U23" s="14"/>
      <c r="V23" s="15"/>
      <c r="W23" s="11"/>
    </row>
    <row r="24" spans="1:23" ht="15.95" customHeight="1">
      <c r="D24" s="23" t="str">
        <f t="shared" si="0"/>
        <v>Sale of Financial Sector Assets</v>
      </c>
      <c r="E24" s="13"/>
      <c r="F24" s="22"/>
      <c r="G24" s="14"/>
      <c r="H24" s="14">
        <f>V24</f>
        <v>357500</v>
      </c>
      <c r="I24" s="11"/>
      <c r="R24" s="23" t="s">
        <v>28</v>
      </c>
      <c r="S24" s="13"/>
      <c r="T24" s="22"/>
      <c r="U24" s="14"/>
      <c r="V24" s="21">
        <f>V17*0.05</f>
        <v>357500</v>
      </c>
      <c r="W24" s="11"/>
    </row>
    <row r="25" spans="1:23" ht="15.95" customHeight="1">
      <c r="D25" s="24" t="str">
        <f t="shared" si="0"/>
        <v>Income before income taxes</v>
      </c>
      <c r="E25" s="24"/>
      <c r="F25" s="22"/>
      <c r="G25" s="14"/>
      <c r="H25" s="10">
        <f>H22+H24</f>
        <v>5183750</v>
      </c>
      <c r="I25" s="11"/>
      <c r="R25" s="24" t="s">
        <v>89</v>
      </c>
      <c r="S25" s="24"/>
      <c r="T25" s="22"/>
      <c r="U25" s="14"/>
      <c r="V25" s="15">
        <f>V22+V24</f>
        <v>5183750</v>
      </c>
      <c r="W25" s="11"/>
    </row>
    <row r="26" spans="1:23" ht="15.95" customHeight="1">
      <c r="D26" s="24" t="str">
        <f t="shared" si="0"/>
        <v>Income taxes (30%)</v>
      </c>
      <c r="E26" s="24"/>
      <c r="F26" s="22"/>
      <c r="G26" s="22"/>
      <c r="H26" s="14">
        <f>V26</f>
        <v>1555125</v>
      </c>
      <c r="I26" s="11"/>
      <c r="R26" s="24" t="s">
        <v>83</v>
      </c>
      <c r="S26" s="24"/>
      <c r="T26" s="22"/>
      <c r="U26" s="22"/>
      <c r="V26" s="20">
        <f>V25*0.3</f>
        <v>1555125</v>
      </c>
      <c r="W26" s="11"/>
    </row>
    <row r="27" spans="1:23" ht="15.95" customHeight="1">
      <c r="D27" s="24" t="str">
        <f t="shared" si="0"/>
        <v>Net income</v>
      </c>
      <c r="E27" s="24"/>
      <c r="F27" s="22"/>
      <c r="G27" s="22"/>
      <c r="H27" s="156">
        <f>H25-H26</f>
        <v>3628625</v>
      </c>
      <c r="I27" s="11"/>
      <c r="R27" s="24" t="s">
        <v>16</v>
      </c>
      <c r="S27" s="24"/>
      <c r="T27" s="22"/>
      <c r="U27" s="22"/>
      <c r="V27" s="15">
        <f>V25-V26</f>
        <v>3628625</v>
      </c>
      <c r="W27" s="11"/>
    </row>
    <row r="28" spans="1:23" ht="15.95" customHeight="1">
      <c r="D28" s="8"/>
      <c r="E28" s="8"/>
      <c r="F28" s="8"/>
      <c r="G28" s="8"/>
      <c r="H28" s="16"/>
      <c r="I28" s="8"/>
      <c r="R28" s="8"/>
      <c r="S28" s="8"/>
      <c r="T28" s="8"/>
      <c r="U28" s="8"/>
      <c r="V28" s="16"/>
      <c r="W28" s="8"/>
    </row>
    <row r="29" spans="1:23" ht="9" customHeight="1">
      <c r="D29" s="17"/>
      <c r="E29" s="17"/>
      <c r="F29" s="17"/>
      <c r="G29" s="17"/>
      <c r="H29" s="17"/>
      <c r="I29" s="17"/>
      <c r="R29" s="17"/>
      <c r="S29" s="17"/>
      <c r="T29" s="17"/>
      <c r="U29" s="17"/>
      <c r="V29" s="17"/>
      <c r="W29" s="17"/>
    </row>
    <row r="30" spans="1:23"/>
    <row r="31" spans="1:23" s="88" customFormat="1" ht="14.1" customHeight="1">
      <c r="A31" s="37"/>
      <c r="D31" s="94" t="s">
        <v>29</v>
      </c>
      <c r="K31" s="32"/>
      <c r="L31" s="32"/>
      <c r="M31" s="32"/>
      <c r="N31" s="32"/>
      <c r="O31" s="37"/>
      <c r="R31" s="94" t="s">
        <v>29</v>
      </c>
    </row>
    <row r="32" spans="1:23" s="88" customFormat="1" ht="14.1" customHeight="1">
      <c r="A32" s="37"/>
      <c r="D32" s="96" t="s">
        <v>30</v>
      </c>
      <c r="G32" s="97">
        <f>U32</f>
        <v>1100000</v>
      </c>
      <c r="K32" s="32"/>
      <c r="L32" s="32"/>
      <c r="M32" s="32"/>
      <c r="N32" s="32"/>
      <c r="O32" s="37"/>
      <c r="R32" s="94" t="s">
        <v>30</v>
      </c>
      <c r="U32" s="95">
        <f>V15*0.1</f>
        <v>1100000</v>
      </c>
    </row>
    <row r="33" spans="1:23" s="88" customFormat="1" ht="14.1" customHeight="1">
      <c r="A33" s="37"/>
      <c r="D33" s="96" t="s">
        <v>31</v>
      </c>
      <c r="G33" s="98">
        <f>U33</f>
        <v>1375000</v>
      </c>
      <c r="K33" s="32"/>
      <c r="L33" s="32"/>
      <c r="M33" s="32"/>
      <c r="N33" s="32"/>
      <c r="O33" s="37"/>
      <c r="R33" s="94" t="s">
        <v>31</v>
      </c>
      <c r="U33" s="95">
        <f>U32*1.25</f>
        <v>1375000</v>
      </c>
    </row>
    <row r="34" spans="1:23" s="88" customFormat="1" ht="14.1" customHeight="1">
      <c r="A34" s="37"/>
      <c r="D34" s="96" t="s">
        <v>20</v>
      </c>
      <c r="G34" s="98">
        <f>U34</f>
        <v>178750</v>
      </c>
      <c r="K34" s="32"/>
      <c r="L34" s="32"/>
      <c r="M34" s="32"/>
      <c r="N34" s="32"/>
      <c r="O34" s="37"/>
      <c r="R34" s="94" t="s">
        <v>20</v>
      </c>
      <c r="U34" s="95">
        <f>U19*0.25</f>
        <v>178750</v>
      </c>
    </row>
    <row r="35" spans="1:23" s="88" customFormat="1" ht="14.1" customHeight="1">
      <c r="A35" s="37"/>
      <c r="D35" s="96" t="s">
        <v>32</v>
      </c>
      <c r="G35" s="98">
        <f>U35</f>
        <v>53625</v>
      </c>
      <c r="K35" s="32"/>
      <c r="L35" s="32"/>
      <c r="M35" s="32"/>
      <c r="N35" s="32"/>
      <c r="O35" s="37"/>
      <c r="R35" s="94" t="s">
        <v>32</v>
      </c>
      <c r="U35" s="95">
        <f>U21*0.1</f>
        <v>53625</v>
      </c>
    </row>
    <row r="36" spans="1:23">
      <c r="C36" s="46"/>
      <c r="D36" s="46"/>
      <c r="E36" s="46"/>
      <c r="G36" s="45"/>
      <c r="Q36" s="46"/>
      <c r="R36" s="46"/>
      <c r="S36" s="46"/>
      <c r="U36" s="45"/>
    </row>
    <row r="37" spans="1:23"/>
    <row r="38" spans="1:23" ht="9.75" customHeight="1">
      <c r="B38" s="7"/>
      <c r="C38" s="7"/>
      <c r="D38" s="7"/>
      <c r="E38" s="7"/>
      <c r="F38" s="7"/>
      <c r="G38" s="7"/>
      <c r="H38" s="7"/>
      <c r="I38" s="7"/>
      <c r="P38" s="7"/>
      <c r="Q38" s="7"/>
      <c r="R38" s="7"/>
      <c r="S38" s="7"/>
      <c r="T38" s="7"/>
      <c r="U38" s="7"/>
      <c r="V38" s="7"/>
      <c r="W38" s="7"/>
    </row>
    <row r="39" spans="1:23" s="88" customFormat="1" ht="15.95" customHeight="1">
      <c r="A39" s="37"/>
      <c r="B39" s="64" t="str">
        <f>P39</f>
        <v>Enter Your Name Here Company</v>
      </c>
      <c r="C39" s="64"/>
      <c r="D39" s="64"/>
      <c r="E39" s="64"/>
      <c r="F39" s="64"/>
      <c r="G39" s="64"/>
      <c r="H39" s="64"/>
      <c r="I39" s="64"/>
      <c r="K39" s="32"/>
      <c r="L39" s="32"/>
      <c r="M39" s="32"/>
      <c r="N39" s="32"/>
      <c r="O39" s="37"/>
      <c r="P39" s="64" t="str">
        <f>CONCATENATE(Identification!$B$1, " Company")</f>
        <v>Enter Your Name Here Company</v>
      </c>
      <c r="Q39" s="64"/>
      <c r="R39" s="64"/>
      <c r="S39" s="64"/>
      <c r="T39" s="64"/>
      <c r="U39" s="64"/>
      <c r="V39" s="64"/>
      <c r="W39" s="64"/>
    </row>
    <row r="40" spans="1:23" s="88" customFormat="1" ht="15.95" customHeight="1">
      <c r="A40" s="37"/>
      <c r="B40" s="64" t="str">
        <f>P40</f>
        <v>Income Statement</v>
      </c>
      <c r="C40" s="64"/>
      <c r="D40" s="64"/>
      <c r="E40" s="64"/>
      <c r="F40" s="64"/>
      <c r="G40" s="64"/>
      <c r="H40" s="64"/>
      <c r="I40" s="64"/>
      <c r="K40" s="32"/>
      <c r="L40" s="32"/>
      <c r="M40" s="32"/>
      <c r="N40" s="32"/>
      <c r="O40" s="37"/>
      <c r="P40" s="64" t="s">
        <v>17</v>
      </c>
      <c r="Q40" s="64"/>
      <c r="R40" s="64"/>
      <c r="S40" s="64"/>
      <c r="T40" s="64"/>
      <c r="U40" s="64"/>
      <c r="V40" s="64"/>
      <c r="W40" s="64"/>
    </row>
    <row r="41" spans="1:23" s="88" customFormat="1" ht="15.95" customHeight="1">
      <c r="A41" s="37"/>
      <c r="B41" s="64" t="str">
        <f>P41</f>
        <v>For the Year Ending December 31, 20X3</v>
      </c>
      <c r="C41" s="64"/>
      <c r="D41" s="64"/>
      <c r="E41" s="64"/>
      <c r="F41" s="64"/>
      <c r="G41" s="64"/>
      <c r="H41" s="64"/>
      <c r="I41" s="64"/>
      <c r="K41" s="32"/>
      <c r="L41" s="32"/>
      <c r="M41" s="32"/>
      <c r="N41" s="32"/>
      <c r="O41" s="37"/>
      <c r="P41" s="64" t="s">
        <v>18</v>
      </c>
      <c r="Q41" s="64"/>
      <c r="R41" s="64"/>
      <c r="S41" s="64"/>
      <c r="T41" s="64"/>
      <c r="U41" s="64"/>
      <c r="V41" s="64"/>
      <c r="W41" s="64"/>
    </row>
    <row r="42" spans="1:23" ht="9.75" customHeight="1">
      <c r="B42" s="7"/>
      <c r="C42" s="7"/>
      <c r="D42" s="7"/>
      <c r="E42" s="7"/>
      <c r="F42" s="7"/>
      <c r="G42" s="7"/>
      <c r="H42" s="7"/>
      <c r="I42" s="7"/>
      <c r="P42" s="7"/>
      <c r="Q42" s="7"/>
      <c r="R42" s="7"/>
      <c r="S42" s="7"/>
      <c r="T42" s="7"/>
      <c r="U42" s="7"/>
      <c r="V42" s="7"/>
      <c r="W42" s="7"/>
    </row>
    <row r="43" spans="1:23" ht="15.95" customHeight="1">
      <c r="B43" s="8"/>
      <c r="C43" s="22"/>
      <c r="D43" s="22"/>
      <c r="E43" s="22"/>
      <c r="F43" s="22"/>
      <c r="G43" s="9"/>
      <c r="H43" s="10"/>
      <c r="I43" s="11"/>
      <c r="M43" s="47">
        <f>$U$75</f>
        <v>14850.030769230771</v>
      </c>
      <c r="P43" s="8"/>
      <c r="Q43" s="22"/>
      <c r="R43" s="22"/>
      <c r="S43" s="22"/>
      <c r="T43" s="22"/>
      <c r="U43" s="9"/>
      <c r="V43" s="10"/>
      <c r="W43" s="11"/>
    </row>
    <row r="44" spans="1:23" ht="15.95" customHeight="1">
      <c r="B44" s="8"/>
      <c r="C44" s="68" t="s">
        <v>19</v>
      </c>
      <c r="D44" s="68"/>
      <c r="E44" s="68"/>
      <c r="F44" s="22"/>
      <c r="G44" s="9"/>
      <c r="H44" s="99"/>
      <c r="I44" s="11"/>
      <c r="M44" s="47">
        <f>$U$69</f>
        <v>24131.3</v>
      </c>
      <c r="P44" s="8"/>
      <c r="Q44" s="68" t="s">
        <v>19</v>
      </c>
      <c r="R44" s="68"/>
      <c r="S44" s="68"/>
      <c r="T44" s="22"/>
      <c r="U44" s="9"/>
      <c r="V44" s="10">
        <f>V15-U32</f>
        <v>9900000</v>
      </c>
      <c r="W44" s="11"/>
    </row>
    <row r="45" spans="1:23" ht="15.95" customHeight="1">
      <c r="B45" s="8"/>
      <c r="C45" s="68" t="s">
        <v>14</v>
      </c>
      <c r="D45" s="68"/>
      <c r="E45" s="68"/>
      <c r="F45" s="12"/>
      <c r="G45" s="10"/>
      <c r="H45" s="101"/>
      <c r="I45" s="11"/>
      <c r="M45" s="47">
        <f>$U$56</f>
        <v>44962.5</v>
      </c>
      <c r="P45" s="8"/>
      <c r="Q45" s="68" t="s">
        <v>14</v>
      </c>
      <c r="R45" s="68"/>
      <c r="S45" s="68"/>
      <c r="T45" s="12"/>
      <c r="U45" s="10"/>
      <c r="V45" s="19">
        <f>V16-U33</f>
        <v>2474999.9999999995</v>
      </c>
      <c r="W45" s="11"/>
    </row>
    <row r="46" spans="1:23" ht="15.95" customHeight="1">
      <c r="B46" s="8"/>
      <c r="C46" s="68" t="s">
        <v>24</v>
      </c>
      <c r="D46" s="68"/>
      <c r="E46" s="68"/>
      <c r="F46" s="12"/>
      <c r="G46" s="13"/>
      <c r="H46" s="15">
        <f>H44-H45</f>
        <v>0</v>
      </c>
      <c r="I46" s="11"/>
      <c r="M46" s="47">
        <f>$U$55</f>
        <v>149875</v>
      </c>
      <c r="P46" s="8"/>
      <c r="Q46" s="68" t="s">
        <v>24</v>
      </c>
      <c r="R46" s="68"/>
      <c r="S46" s="68"/>
      <c r="T46" s="12"/>
      <c r="U46" s="13"/>
      <c r="V46" s="15">
        <f>V44-V45</f>
        <v>7425000</v>
      </c>
      <c r="W46" s="11"/>
    </row>
    <row r="47" spans="1:23" ht="15.95" customHeight="1">
      <c r="B47" s="8"/>
      <c r="C47" s="68" t="s">
        <v>25</v>
      </c>
      <c r="D47" s="68"/>
      <c r="E47" s="68"/>
      <c r="F47" s="12"/>
      <c r="G47" s="10"/>
      <c r="H47" s="10"/>
      <c r="I47" s="11"/>
      <c r="M47" s="47">
        <f>$U$50</f>
        <v>482625</v>
      </c>
      <c r="P47" s="8"/>
      <c r="Q47" s="68" t="s">
        <v>25</v>
      </c>
      <c r="R47" s="68"/>
      <c r="S47" s="68"/>
      <c r="T47" s="12"/>
      <c r="U47" s="10"/>
      <c r="V47" s="10"/>
      <c r="W47" s="11"/>
    </row>
    <row r="48" spans="1:23" ht="15.95" customHeight="1">
      <c r="B48" s="8"/>
      <c r="C48" s="67" t="s">
        <v>20</v>
      </c>
      <c r="D48" s="67"/>
      <c r="E48" s="67"/>
      <c r="F48" s="22"/>
      <c r="G48" s="99"/>
      <c r="H48" s="10"/>
      <c r="I48" s="11"/>
      <c r="M48" s="47">
        <f>$U$48</f>
        <v>536250</v>
      </c>
      <c r="P48" s="8"/>
      <c r="Q48" s="67" t="s">
        <v>20</v>
      </c>
      <c r="R48" s="67"/>
      <c r="S48" s="67"/>
      <c r="T48" s="22"/>
      <c r="U48" s="13">
        <f>U19-U34</f>
        <v>536250</v>
      </c>
      <c r="V48" s="10"/>
      <c r="W48" s="11"/>
    </row>
    <row r="49" spans="1:26" ht="15.95" customHeight="1">
      <c r="B49" s="8"/>
      <c r="C49" s="67" t="s">
        <v>21</v>
      </c>
      <c r="D49" s="67"/>
      <c r="E49" s="67"/>
      <c r="F49" s="22"/>
      <c r="G49" s="100"/>
      <c r="H49" s="10"/>
      <c r="I49" s="11"/>
      <c r="M49" s="47">
        <f>$U$49</f>
        <v>1072500</v>
      </c>
      <c r="P49" s="8"/>
      <c r="Q49" s="67" t="s">
        <v>21</v>
      </c>
      <c r="R49" s="67"/>
      <c r="S49" s="67"/>
      <c r="T49" s="22"/>
      <c r="U49" s="13">
        <f>U20</f>
        <v>1072500</v>
      </c>
      <c r="V49" s="10"/>
      <c r="W49" s="11"/>
    </row>
    <row r="50" spans="1:26" ht="15.95" customHeight="1">
      <c r="B50" s="8"/>
      <c r="C50" s="67" t="s">
        <v>22</v>
      </c>
      <c r="D50" s="67"/>
      <c r="E50" s="67"/>
      <c r="F50" s="22"/>
      <c r="G50" s="101"/>
      <c r="H50" s="14">
        <f>SUM(G48:G50)</f>
        <v>0</v>
      </c>
      <c r="I50" s="11"/>
      <c r="M50" s="47">
        <f>$V$52</f>
        <v>1600087.5</v>
      </c>
      <c r="P50" s="8"/>
      <c r="Q50" s="67" t="s">
        <v>22</v>
      </c>
      <c r="R50" s="67"/>
      <c r="S50" s="67"/>
      <c r="T50" s="22"/>
      <c r="U50" s="14">
        <f>U21-U35</f>
        <v>482625</v>
      </c>
      <c r="V50" s="19">
        <f>SUM(U48:U50)</f>
        <v>2091375</v>
      </c>
      <c r="W50" s="11"/>
    </row>
    <row r="51" spans="1:26" ht="15.95" customHeight="1">
      <c r="B51" s="8"/>
      <c r="C51" s="68" t="s">
        <v>23</v>
      </c>
      <c r="D51" s="68"/>
      <c r="E51" s="68"/>
      <c r="F51" s="22"/>
      <c r="G51" s="14"/>
      <c r="H51" s="10">
        <f>H46-H50</f>
        <v>0</v>
      </c>
      <c r="I51" s="11"/>
      <c r="M51" s="47">
        <f>$V$45</f>
        <v>2474999.9999999995</v>
      </c>
      <c r="P51" s="8"/>
      <c r="Q51" s="68" t="s">
        <v>23</v>
      </c>
      <c r="R51" s="68"/>
      <c r="S51" s="68"/>
      <c r="T51" s="22"/>
      <c r="U51" s="14"/>
      <c r="V51" s="15">
        <f>V46-V50</f>
        <v>5333625</v>
      </c>
      <c r="W51" s="11"/>
    </row>
    <row r="52" spans="1:26" ht="15.95" customHeight="1">
      <c r="B52" s="8"/>
      <c r="C52" s="68" t="s">
        <v>83</v>
      </c>
      <c r="D52" s="68"/>
      <c r="E52" s="68"/>
      <c r="F52" s="22"/>
      <c r="G52" s="14"/>
      <c r="H52" s="101"/>
      <c r="I52" s="11"/>
      <c r="M52" s="47">
        <f>$R$105</f>
        <v>4452938</v>
      </c>
      <c r="P52" s="8"/>
      <c r="Q52" s="68" t="s">
        <v>33</v>
      </c>
      <c r="R52" s="68"/>
      <c r="S52" s="68"/>
      <c r="T52" s="22"/>
      <c r="U52" s="14"/>
      <c r="V52" s="19">
        <f>V51*0.3</f>
        <v>1600087.5</v>
      </c>
      <c r="W52" s="11"/>
    </row>
    <row r="53" spans="1:26" ht="15.95" customHeight="1">
      <c r="B53" s="8"/>
      <c r="C53" s="68" t="s">
        <v>34</v>
      </c>
      <c r="D53" s="68"/>
      <c r="E53" s="68"/>
      <c r="F53" s="22"/>
      <c r="G53" s="14"/>
      <c r="H53" s="10">
        <f>H51-H52</f>
        <v>0</v>
      </c>
      <c r="I53" s="11"/>
      <c r="K53" s="48"/>
      <c r="M53" s="47">
        <f>$V$44</f>
        <v>9900000</v>
      </c>
      <c r="P53" s="8"/>
      <c r="Q53" s="68" t="s">
        <v>34</v>
      </c>
      <c r="R53" s="68"/>
      <c r="S53" s="68"/>
      <c r="T53" s="22"/>
      <c r="U53" s="14"/>
      <c r="V53" s="15">
        <f>V51-V52</f>
        <v>3733537.5</v>
      </c>
      <c r="W53" s="11"/>
    </row>
    <row r="54" spans="1:26" ht="15.95" customHeight="1">
      <c r="B54" s="8"/>
      <c r="C54" s="68" t="s">
        <v>90</v>
      </c>
      <c r="D54" s="68"/>
      <c r="E54" s="68"/>
      <c r="F54" s="22"/>
      <c r="G54" s="14"/>
      <c r="H54" s="15"/>
      <c r="I54" s="11"/>
      <c r="P54" s="8"/>
      <c r="Q54" s="68" t="s">
        <v>35</v>
      </c>
      <c r="R54" s="68"/>
      <c r="S54" s="68"/>
      <c r="T54" s="22"/>
      <c r="U54" s="14"/>
      <c r="V54" s="15"/>
      <c r="W54" s="11"/>
    </row>
    <row r="55" spans="1:26" ht="15.95" customHeight="1">
      <c r="B55" s="8"/>
      <c r="C55" s="67" t="s">
        <v>37</v>
      </c>
      <c r="D55" s="67"/>
      <c r="E55" s="67"/>
      <c r="F55" s="22"/>
      <c r="G55" s="99"/>
      <c r="H55" s="15"/>
      <c r="I55" s="11"/>
      <c r="P55" s="8"/>
      <c r="Q55" s="67" t="s">
        <v>37</v>
      </c>
      <c r="R55" s="67"/>
      <c r="S55" s="67"/>
      <c r="T55" s="22"/>
      <c r="U55" s="13">
        <f>-(U32-U33-U34-U35+V24)</f>
        <v>149875</v>
      </c>
      <c r="V55" s="15"/>
      <c r="W55" s="11"/>
    </row>
    <row r="56" spans="1:26" ht="15.95" customHeight="1">
      <c r="B56" s="8"/>
      <c r="C56" s="67" t="s">
        <v>36</v>
      </c>
      <c r="D56" s="67"/>
      <c r="E56" s="67"/>
      <c r="F56" s="22"/>
      <c r="G56" s="101"/>
      <c r="H56" s="14">
        <f>G55-G56</f>
        <v>0</v>
      </c>
      <c r="I56" s="11"/>
      <c r="P56" s="8"/>
      <c r="Q56" s="67" t="s">
        <v>36</v>
      </c>
      <c r="R56" s="67"/>
      <c r="S56" s="67"/>
      <c r="T56" s="22"/>
      <c r="U56" s="14">
        <f>U55*0.3</f>
        <v>44962.5</v>
      </c>
      <c r="V56" s="21">
        <f>U55-U56</f>
        <v>104912.5</v>
      </c>
      <c r="W56" s="11"/>
    </row>
    <row r="57" spans="1:26" ht="15.95" customHeight="1">
      <c r="B57" s="8"/>
      <c r="C57" s="68" t="s">
        <v>16</v>
      </c>
      <c r="D57" s="68"/>
      <c r="E57" s="68"/>
      <c r="F57" s="22"/>
      <c r="G57" s="22"/>
      <c r="H57" s="156">
        <f>H53-H56</f>
        <v>0</v>
      </c>
      <c r="I57" s="11"/>
      <c r="P57" s="8"/>
      <c r="Q57" s="68" t="s">
        <v>16</v>
      </c>
      <c r="R57" s="68"/>
      <c r="S57" s="68"/>
      <c r="T57" s="22"/>
      <c r="U57" s="22"/>
      <c r="V57" s="15">
        <f>V53-V56</f>
        <v>3628625</v>
      </c>
      <c r="W57" s="11"/>
    </row>
    <row r="58" spans="1:26" ht="15.95" customHeight="1">
      <c r="B58" s="8"/>
      <c r="C58" s="8"/>
      <c r="D58" s="8"/>
      <c r="E58" s="8"/>
      <c r="F58" s="8"/>
      <c r="G58" s="8"/>
      <c r="H58" s="16"/>
      <c r="I58" s="8"/>
      <c r="P58" s="8"/>
      <c r="Q58" s="8"/>
      <c r="R58" s="8"/>
      <c r="S58" s="8"/>
      <c r="T58" s="8"/>
      <c r="U58" s="8"/>
      <c r="V58" s="16"/>
      <c r="W58" s="8"/>
    </row>
    <row r="59" spans="1:26">
      <c r="B59" s="17"/>
      <c r="C59" s="17"/>
      <c r="D59" s="17"/>
      <c r="E59" s="17"/>
      <c r="F59" s="17"/>
      <c r="G59" s="17"/>
      <c r="H59" s="17"/>
      <c r="I59" s="17"/>
      <c r="P59" s="17"/>
      <c r="Q59" s="17"/>
      <c r="R59" s="17"/>
      <c r="S59" s="17"/>
      <c r="T59" s="17"/>
      <c r="U59" s="17"/>
      <c r="V59" s="17"/>
      <c r="W59" s="17"/>
    </row>
    <row r="60" spans="1:26"/>
    <row r="61" spans="1:26" ht="68.25" customHeight="1">
      <c r="B61" s="102" t="str">
        <f>P61</f>
        <v>During 20X4 you discover that due to the major focus on selling the Financial Sector, no depreciation was recorded on equipment XYZ during 20X3.  Additionally during 20X4, the PP&amp;E manager determined that the useful life of equipment XYZ be changed from 10 years to 15 years total; maintaining straight-line depreciation and no salvage value.  Information pertaining to equipment XYZ is as follows:</v>
      </c>
      <c r="C61" s="65"/>
      <c r="D61" s="65"/>
      <c r="E61" s="65"/>
      <c r="F61" s="65"/>
      <c r="G61" s="65"/>
      <c r="H61" s="65"/>
      <c r="I61" s="65"/>
      <c r="J61" s="65"/>
      <c r="P61" s="83" t="s">
        <v>91</v>
      </c>
      <c r="Q61" s="84"/>
      <c r="R61" s="84"/>
      <c r="S61" s="84"/>
      <c r="T61" s="84"/>
      <c r="U61" s="84"/>
      <c r="V61" s="84"/>
      <c r="W61" s="84"/>
      <c r="X61" s="84"/>
      <c r="Y61" s="49"/>
      <c r="Z61" s="49"/>
    </row>
    <row r="62" spans="1:26"/>
    <row r="63" spans="1:26" ht="15" customHeight="1">
      <c r="C63" s="50" t="s">
        <v>38</v>
      </c>
      <c r="D63" s="50" t="s">
        <v>40</v>
      </c>
      <c r="E63" s="50" t="s">
        <v>42</v>
      </c>
      <c r="F63" s="86" t="s">
        <v>93</v>
      </c>
      <c r="G63" s="75"/>
      <c r="H63" s="75"/>
      <c r="I63" s="75"/>
      <c r="Q63" s="50" t="s">
        <v>38</v>
      </c>
      <c r="R63" s="50" t="s">
        <v>40</v>
      </c>
      <c r="S63" s="50" t="s">
        <v>42</v>
      </c>
      <c r="T63" s="86" t="s">
        <v>93</v>
      </c>
      <c r="U63" s="75"/>
      <c r="V63" s="75"/>
      <c r="W63" s="75"/>
    </row>
    <row r="64" spans="1:26" s="88" customFormat="1" ht="18" customHeight="1">
      <c r="A64" s="37"/>
      <c r="C64" s="107" t="str">
        <f>Q64</f>
        <v>XYZ</v>
      </c>
      <c r="D64" s="107" t="str">
        <f>R64</f>
        <v>January 1, 20X2</v>
      </c>
      <c r="E64" s="108">
        <f>S64</f>
        <v>241313</v>
      </c>
      <c r="F64" s="109">
        <f>T64</f>
        <v>24131.3</v>
      </c>
      <c r="G64" s="110"/>
      <c r="H64" s="110"/>
      <c r="I64" s="111"/>
      <c r="K64" s="32"/>
      <c r="L64" s="32"/>
      <c r="M64" s="32"/>
      <c r="N64" s="32"/>
      <c r="O64" s="37"/>
      <c r="Q64" s="103" t="s">
        <v>39</v>
      </c>
      <c r="R64" s="103" t="s">
        <v>41</v>
      </c>
      <c r="S64" s="104">
        <f>AD13</f>
        <v>241313</v>
      </c>
      <c r="T64" s="105">
        <f>S64/10*1</f>
        <v>24131.3</v>
      </c>
      <c r="U64" s="106"/>
      <c r="V64" s="106"/>
      <c r="W64" s="106"/>
    </row>
    <row r="65" spans="1:26"/>
    <row r="66" spans="1:26" ht="40.5" customHeight="1">
      <c r="A66" s="38" t="s">
        <v>7</v>
      </c>
      <c r="B66" s="66" t="str">
        <f>P66</f>
        <v>Prepare the journal entry to correct the error of not recording depreciation during 20X3 and to record depreciation expense for equipment XYZ during 20X4.</v>
      </c>
      <c r="C66" s="66"/>
      <c r="D66" s="66"/>
      <c r="E66" s="66"/>
      <c r="F66" s="66"/>
      <c r="G66" s="66"/>
      <c r="H66" s="66"/>
      <c r="I66" s="66"/>
      <c r="J66" s="66"/>
      <c r="K66" s="28"/>
      <c r="L66" s="28"/>
      <c r="M66" s="28"/>
      <c r="N66" s="28"/>
      <c r="O66" s="27" t="s">
        <v>7</v>
      </c>
      <c r="P66" s="80" t="s">
        <v>43</v>
      </c>
      <c r="Q66" s="80"/>
      <c r="R66" s="80"/>
      <c r="S66" s="80"/>
      <c r="T66" s="80"/>
      <c r="U66" s="80"/>
      <c r="V66" s="80"/>
      <c r="W66" s="80"/>
      <c r="X66" s="80"/>
      <c r="Y66" s="51"/>
      <c r="Z66" s="51"/>
    </row>
    <row r="67" spans="1:26">
      <c r="M67" s="52" t="s">
        <v>86</v>
      </c>
    </row>
    <row r="68" spans="1:26" ht="18" customHeight="1">
      <c r="C68" s="112" t="s">
        <v>44</v>
      </c>
      <c r="D68" s="81" t="s">
        <v>45</v>
      </c>
      <c r="E68" s="82"/>
      <c r="F68" s="25"/>
      <c r="G68" s="112" t="s">
        <v>46</v>
      </c>
      <c r="H68" s="112" t="s">
        <v>47</v>
      </c>
      <c r="M68" s="29" t="str">
        <f>$R$70</f>
        <v>Accumulated Depreciation</v>
      </c>
      <c r="Q68" s="25" t="s">
        <v>44</v>
      </c>
      <c r="R68" s="81" t="s">
        <v>45</v>
      </c>
      <c r="S68" s="82"/>
      <c r="T68" s="25"/>
      <c r="U68" s="25" t="s">
        <v>46</v>
      </c>
      <c r="V68" s="25" t="s">
        <v>47</v>
      </c>
    </row>
    <row r="69" spans="1:26" s="88" customFormat="1" ht="18" customHeight="1">
      <c r="A69" s="37"/>
      <c r="C69" s="123" t="s">
        <v>48</v>
      </c>
      <c r="D69" s="114"/>
      <c r="E69" s="115"/>
      <c r="G69" s="122"/>
      <c r="H69" s="92"/>
      <c r="K69" s="32"/>
      <c r="L69" s="32"/>
      <c r="M69" s="36" t="s">
        <v>85</v>
      </c>
      <c r="N69" s="32"/>
      <c r="O69" s="37"/>
      <c r="Q69" s="89" t="s">
        <v>48</v>
      </c>
      <c r="R69" s="116" t="s">
        <v>49</v>
      </c>
      <c r="S69" s="117"/>
      <c r="U69" s="92">
        <f>T64</f>
        <v>24131.3</v>
      </c>
      <c r="V69" s="92"/>
    </row>
    <row r="70" spans="1:26" s="88" customFormat="1" ht="18" customHeight="1">
      <c r="A70" s="37"/>
      <c r="D70" s="120"/>
      <c r="E70" s="121"/>
      <c r="G70" s="92"/>
      <c r="H70" s="122"/>
      <c r="K70" s="32"/>
      <c r="L70" s="32"/>
      <c r="M70" s="32" t="str">
        <f>$R$75</f>
        <v>Depreciation Expense</v>
      </c>
      <c r="N70" s="32"/>
      <c r="O70" s="37"/>
      <c r="R70" s="118" t="s">
        <v>50</v>
      </c>
      <c r="S70" s="119"/>
      <c r="U70" s="92"/>
      <c r="V70" s="92">
        <f>T64</f>
        <v>24131.3</v>
      </c>
    </row>
    <row r="71" spans="1:26" ht="9" customHeight="1">
      <c r="M71" s="29" t="str">
        <f>$R$69</f>
        <v>Retained Earnings</v>
      </c>
    </row>
    <row r="72" spans="1:26" ht="25.5" customHeight="1">
      <c r="D72" s="76" t="str">
        <f>R72</f>
        <v>To record correction of error for previously omitted 20X3 depreciation expense</v>
      </c>
      <c r="E72" s="78"/>
      <c r="F72" s="113"/>
      <c r="G72" s="113"/>
      <c r="R72" s="76" t="s">
        <v>51</v>
      </c>
      <c r="S72" s="77"/>
      <c r="T72" s="77"/>
      <c r="U72" s="78"/>
    </row>
    <row r="73" spans="1:26"/>
    <row r="74" spans="1:26" ht="18" customHeight="1">
      <c r="C74" s="112" t="s">
        <v>44</v>
      </c>
      <c r="D74" s="81" t="s">
        <v>45</v>
      </c>
      <c r="E74" s="82"/>
      <c r="F74" s="25"/>
      <c r="G74" s="112" t="s">
        <v>46</v>
      </c>
      <c r="H74" s="112" t="s">
        <v>47</v>
      </c>
      <c r="Q74" s="25" t="s">
        <v>44</v>
      </c>
      <c r="R74" s="81" t="s">
        <v>45</v>
      </c>
      <c r="S74" s="82"/>
      <c r="T74" s="25"/>
      <c r="U74" s="25" t="s">
        <v>46</v>
      </c>
      <c r="V74" s="25" t="s">
        <v>47</v>
      </c>
    </row>
    <row r="75" spans="1:26" s="88" customFormat="1" ht="18" customHeight="1">
      <c r="A75" s="37"/>
      <c r="C75" s="123" t="s">
        <v>48</v>
      </c>
      <c r="D75" s="114"/>
      <c r="E75" s="115"/>
      <c r="G75" s="122"/>
      <c r="H75" s="92"/>
      <c r="K75" s="32"/>
      <c r="L75" s="32"/>
      <c r="M75" s="32"/>
      <c r="N75" s="32"/>
      <c r="O75" s="37"/>
      <c r="Q75" s="89" t="s">
        <v>48</v>
      </c>
      <c r="R75" s="116" t="s">
        <v>15</v>
      </c>
      <c r="S75" s="117"/>
      <c r="U75" s="92">
        <f>(S64-T64-U69)/13</f>
        <v>14850.030769230771</v>
      </c>
      <c r="V75" s="92"/>
    </row>
    <row r="76" spans="1:26" s="88" customFormat="1" ht="18" customHeight="1">
      <c r="A76" s="37"/>
      <c r="D76" s="120"/>
      <c r="E76" s="121"/>
      <c r="G76" s="92"/>
      <c r="H76" s="122"/>
      <c r="K76" s="32"/>
      <c r="L76" s="32"/>
      <c r="M76" s="32"/>
      <c r="N76" s="32"/>
      <c r="O76" s="37"/>
      <c r="R76" s="118" t="s">
        <v>50</v>
      </c>
      <c r="S76" s="119"/>
      <c r="U76" s="92"/>
      <c r="V76" s="92">
        <f>U75</f>
        <v>14850.030769230771</v>
      </c>
    </row>
    <row r="77" spans="1:26" ht="9" customHeight="1"/>
    <row r="78" spans="1:26" ht="12.75" customHeight="1">
      <c r="D78" s="76" t="str">
        <f>R78</f>
        <v>To record depreciation expense for 20X4</v>
      </c>
      <c r="E78" s="78"/>
      <c r="F78" s="113"/>
      <c r="G78" s="113"/>
      <c r="R78" s="76" t="s">
        <v>52</v>
      </c>
      <c r="S78" s="77"/>
      <c r="T78" s="77"/>
      <c r="U78" s="78"/>
    </row>
    <row r="79" spans="1:26" ht="32.25" customHeight="1"/>
    <row r="80" spans="1:26">
      <c r="B80" s="79" t="str">
        <f>P80</f>
        <v>Enter Your Name Here Company showed the following equity balances at the end of 20X4:</v>
      </c>
      <c r="C80" s="79"/>
      <c r="D80" s="79"/>
      <c r="E80" s="79"/>
      <c r="F80" s="79"/>
      <c r="G80" s="79"/>
      <c r="H80" s="79"/>
      <c r="I80" s="79"/>
      <c r="J80" s="79"/>
      <c r="P80" s="79" t="str">
        <f>CONCATENATE(Identification!$B$1," Company showed the following equity balances at the end of 20X4:")</f>
        <v>Enter Your Name Here Company showed the following equity balances at the end of 20X4:</v>
      </c>
      <c r="Q80" s="79"/>
      <c r="R80" s="79"/>
      <c r="S80" s="79"/>
      <c r="T80" s="79"/>
      <c r="U80" s="79"/>
      <c r="V80" s="79"/>
      <c r="W80" s="79"/>
      <c r="X80" s="79"/>
      <c r="Y80" s="29"/>
      <c r="Z80" s="29"/>
    </row>
    <row r="81" spans="1:26" ht="13.5" customHeight="1"/>
    <row r="82" spans="1:26" ht="21" customHeight="1">
      <c r="C82" s="64" t="s">
        <v>65</v>
      </c>
      <c r="D82" s="64"/>
      <c r="E82" s="64"/>
      <c r="F82" s="64"/>
      <c r="G82" s="64"/>
      <c r="H82" s="64"/>
      <c r="I82" s="64"/>
      <c r="Q82" s="64" t="s">
        <v>65</v>
      </c>
      <c r="R82" s="64"/>
      <c r="S82" s="64"/>
      <c r="T82" s="64"/>
      <c r="U82" s="64"/>
      <c r="V82" s="64"/>
      <c r="W82" s="64"/>
    </row>
    <row r="83" spans="1:26">
      <c r="C83" s="22"/>
      <c r="D83" s="22"/>
      <c r="E83" s="22"/>
      <c r="F83" s="22"/>
      <c r="G83" s="9"/>
      <c r="H83" s="10"/>
      <c r="I83" s="11"/>
      <c r="Q83" s="22"/>
      <c r="R83" s="22"/>
      <c r="S83" s="22"/>
      <c r="T83" s="22"/>
      <c r="U83" s="9"/>
      <c r="V83" s="10"/>
      <c r="W83" s="11"/>
    </row>
    <row r="84" spans="1:26">
      <c r="C84" s="24" t="s">
        <v>59</v>
      </c>
      <c r="D84" s="24"/>
      <c r="E84" s="24"/>
      <c r="F84" s="22"/>
      <c r="G84" s="9"/>
      <c r="H84" s="10"/>
      <c r="I84" s="11"/>
      <c r="Q84" s="24" t="s">
        <v>59</v>
      </c>
      <c r="R84" s="24"/>
      <c r="S84" s="24"/>
      <c r="T84" s="22"/>
      <c r="U84" s="9"/>
      <c r="V84" s="10"/>
      <c r="W84" s="11"/>
    </row>
    <row r="85" spans="1:26">
      <c r="C85" s="23" t="str">
        <f>Q85</f>
        <v>Preferred, $100 par value, 9% cumulative, 110,000 shares outstanding</v>
      </c>
      <c r="D85" s="23"/>
      <c r="E85" s="24"/>
      <c r="F85" s="12"/>
      <c r="G85" s="124">
        <f>U85</f>
        <v>11000000</v>
      </c>
      <c r="H85" s="15"/>
      <c r="I85" s="11"/>
      <c r="Q85" s="23" t="str">
        <f>CONCATENATE("Preferred, ",TEXT(AC8,"$##")," par value, ",TEXT(AD8,"#%")," cumulative, ",TEXT(AB8,"##,###")," shares outstanding")</f>
        <v>Preferred, $100 par value, 9% cumulative, 110,000 shares outstanding</v>
      </c>
      <c r="R85" s="23"/>
      <c r="S85" s="24"/>
      <c r="T85" s="12"/>
      <c r="U85" s="15">
        <f>AC8*AB8</f>
        <v>11000000</v>
      </c>
      <c r="V85" s="15"/>
      <c r="W85" s="11"/>
    </row>
    <row r="86" spans="1:26" ht="15">
      <c r="C86" s="23" t="str">
        <f>Q86</f>
        <v>Common, $90 par value, 275,000 shares outstanding</v>
      </c>
      <c r="D86" s="24"/>
      <c r="E86" s="24"/>
      <c r="F86" s="12"/>
      <c r="G86" s="14">
        <f>U86</f>
        <v>24750000</v>
      </c>
      <c r="H86" s="124">
        <f>SUM(G85:G86)</f>
        <v>35750000</v>
      </c>
      <c r="I86" s="11"/>
      <c r="Q86" s="23" t="str">
        <f>CONCATENATE("Common, ",TEXT(AC11,"$##")," par value, ",TEXT(AB11,"##,###")," shares outstanding")</f>
        <v>Common, $90 par value, 275,000 shares outstanding</v>
      </c>
      <c r="R86" s="24"/>
      <c r="S86" s="24"/>
      <c r="T86" s="12"/>
      <c r="U86" s="14">
        <f>AB11*AC11</f>
        <v>24750000</v>
      </c>
      <c r="V86" s="26">
        <f>SUM(U85:U86)</f>
        <v>35750000</v>
      </c>
      <c r="W86" s="11"/>
    </row>
    <row r="87" spans="1:26" ht="15">
      <c r="C87" s="24" t="s">
        <v>58</v>
      </c>
      <c r="D87" s="24"/>
      <c r="E87" s="24"/>
      <c r="F87" s="12"/>
      <c r="G87" s="10"/>
      <c r="H87" s="19"/>
      <c r="I87" s="11"/>
      <c r="M87" s="53">
        <f>$U$110</f>
        <v>5.0100349477131729</v>
      </c>
      <c r="Q87" s="24" t="s">
        <v>58</v>
      </c>
      <c r="R87" s="24"/>
      <c r="S87" s="24"/>
      <c r="T87" s="12"/>
      <c r="U87" s="10"/>
      <c r="V87" s="19"/>
      <c r="W87" s="11"/>
    </row>
    <row r="88" spans="1:26" ht="15">
      <c r="C88" s="23" t="s">
        <v>60</v>
      </c>
      <c r="D88" s="24"/>
      <c r="E88" s="24"/>
      <c r="F88" s="12"/>
      <c r="G88" s="124">
        <f>U88</f>
        <v>1100000</v>
      </c>
      <c r="H88" s="19"/>
      <c r="I88" s="11"/>
      <c r="M88" s="54">
        <f>$U$110*2</f>
        <v>10.020069895426346</v>
      </c>
      <c r="Q88" s="23" t="s">
        <v>60</v>
      </c>
      <c r="R88" s="24"/>
      <c r="S88" s="24"/>
      <c r="T88" s="12"/>
      <c r="U88" s="10">
        <f>U85*0.1</f>
        <v>1100000</v>
      </c>
      <c r="V88" s="19"/>
      <c r="W88" s="11"/>
    </row>
    <row r="89" spans="1:26" ht="15">
      <c r="C89" s="23" t="s">
        <v>61</v>
      </c>
      <c r="D89" s="24"/>
      <c r="E89" s="24"/>
      <c r="F89" s="12"/>
      <c r="G89" s="14">
        <f>U89</f>
        <v>37125000</v>
      </c>
      <c r="H89" s="14">
        <f>SUM(G88:G89)</f>
        <v>38225000</v>
      </c>
      <c r="I89" s="11"/>
      <c r="M89" s="54">
        <f>$M$87+$M$88</f>
        <v>15.030104843139519</v>
      </c>
      <c r="Q89" s="23" t="s">
        <v>61</v>
      </c>
      <c r="R89" s="24"/>
      <c r="S89" s="24"/>
      <c r="T89" s="12"/>
      <c r="U89" s="18">
        <f>U86*1.5</f>
        <v>37125000</v>
      </c>
      <c r="V89" s="19">
        <f>SUM(U88:U89)</f>
        <v>38225000</v>
      </c>
      <c r="W89" s="11"/>
    </row>
    <row r="90" spans="1:26">
      <c r="C90" s="24" t="s">
        <v>62</v>
      </c>
      <c r="D90" s="24"/>
      <c r="E90" s="24"/>
      <c r="F90" s="12"/>
      <c r="G90" s="10"/>
      <c r="H90" s="124">
        <f>SUM(H86:H89)</f>
        <v>73975000</v>
      </c>
      <c r="I90" s="11"/>
      <c r="Q90" s="24" t="s">
        <v>62</v>
      </c>
      <c r="R90" s="24"/>
      <c r="S90" s="24"/>
      <c r="T90" s="12"/>
      <c r="U90" s="10"/>
      <c r="V90" s="15">
        <f>SUM(V86:V89)</f>
        <v>73975000</v>
      </c>
      <c r="W90" s="11"/>
    </row>
    <row r="91" spans="1:26" ht="15">
      <c r="C91" s="24" t="s">
        <v>63</v>
      </c>
      <c r="D91" s="24"/>
      <c r="E91" s="24"/>
      <c r="F91" s="12"/>
      <c r="G91" s="10"/>
      <c r="H91" s="14">
        <f>V91</f>
        <v>7257250</v>
      </c>
      <c r="I91" s="11"/>
      <c r="Q91" s="24" t="s">
        <v>63</v>
      </c>
      <c r="R91" s="24"/>
      <c r="S91" s="24"/>
      <c r="T91" s="12"/>
      <c r="U91" s="10"/>
      <c r="V91" s="19">
        <f>V57*2</f>
        <v>7257250</v>
      </c>
      <c r="W91" s="11"/>
    </row>
    <row r="92" spans="1:26" ht="15">
      <c r="C92" s="24" t="s">
        <v>64</v>
      </c>
      <c r="D92" s="24"/>
      <c r="E92" s="24"/>
      <c r="F92" s="12"/>
      <c r="G92" s="13"/>
      <c r="H92" s="125">
        <f>H90+H91</f>
        <v>81232250</v>
      </c>
      <c r="I92" s="11"/>
      <c r="Q92" s="24" t="s">
        <v>64</v>
      </c>
      <c r="R92" s="24"/>
      <c r="S92" s="24"/>
      <c r="T92" s="12"/>
      <c r="U92" s="13"/>
      <c r="V92" s="15">
        <f>V90+V91</f>
        <v>81232250</v>
      </c>
      <c r="W92" s="11"/>
    </row>
    <row r="93" spans="1:26">
      <c r="C93" s="24"/>
      <c r="D93" s="24"/>
      <c r="E93" s="24"/>
      <c r="F93" s="12"/>
      <c r="G93" s="13"/>
      <c r="H93" s="15"/>
      <c r="I93" s="11"/>
      <c r="Q93" s="24"/>
      <c r="R93" s="24"/>
      <c r="S93" s="24"/>
      <c r="T93" s="12"/>
      <c r="U93" s="13"/>
      <c r="V93" s="15"/>
      <c r="W93" s="11"/>
    </row>
    <row r="94" spans="1:26" ht="21" customHeight="1">
      <c r="C94" s="64"/>
      <c r="D94" s="64"/>
      <c r="E94" s="64"/>
      <c r="F94" s="64"/>
      <c r="G94" s="64"/>
      <c r="H94" s="64"/>
      <c r="I94" s="64"/>
      <c r="M94" s="55">
        <f>$T$99</f>
        <v>68750</v>
      </c>
      <c r="Q94" s="64"/>
      <c r="R94" s="64"/>
      <c r="S94" s="64"/>
      <c r="T94" s="64"/>
      <c r="U94" s="64"/>
      <c r="V94" s="64"/>
      <c r="W94" s="64"/>
    </row>
    <row r="95" spans="1:26">
      <c r="M95" s="56">
        <f>$S$99</f>
        <v>275000</v>
      </c>
    </row>
    <row r="96" spans="1:26" ht="95.25" customHeight="1">
      <c r="A96" s="37" t="s">
        <v>10</v>
      </c>
      <c r="B96" s="66" t="str">
        <f>P96</f>
        <v>Assume Enter Your Name Here Company declared and paid all dividends leading up to 20X5, but has not declared or paid dividends in 20X5 as of year end.  On April 1, 20X5 Enter Your Name Here Company issued an additional 137,500 shares of common stock and net income for the year ended December 31, 20X5 was $5,442,938.  Determine the basic earnings per share for Enter Your Name Here Company for 20X5.  Round your answer to two decimal places.</v>
      </c>
      <c r="C96" s="66"/>
      <c r="D96" s="66"/>
      <c r="E96" s="66"/>
      <c r="F96" s="66"/>
      <c r="G96" s="66"/>
      <c r="H96" s="66"/>
      <c r="I96" s="66"/>
      <c r="J96" s="66"/>
      <c r="K96" s="38"/>
      <c r="L96" s="38"/>
      <c r="M96" s="57">
        <f>$T$100</f>
        <v>309375</v>
      </c>
      <c r="N96" s="38"/>
      <c r="O96" s="37" t="s">
        <v>10</v>
      </c>
      <c r="P96" s="66" t="str">
        <f>CONCATENATE("Assume ",Identification!$B$1," Company declared and paid all dividends leading up to 20X5, but has not declared or paid dividends in 20X5 as of year end.  On April 1, 20X5 ",Identification!B$1," Company issued an additional ",TEXT(AD15,"#,###")," shares of common stock and net income for the year ended December 31, 20X5 was ",TEXT(AC15,"$##,###"),".  Determine the basic earnings per share for ",Identification!$B$1," Company for 20X5.  Round your answer to two decimal places.")</f>
        <v>Assume Enter Your Name Here Company declared and paid all dividends leading up to 20X5, but has not declared or paid dividends in 20X5 as of year end.  On April 1, 20X5 Enter Your Name Here Company issued an additional 137,500 shares of common stock and net income for the year ended December 31, 20X5 was $5,442,938.  Determine the basic earnings per share for Enter Your Name Here Company for 20X5.  Round your answer to two decimal places.</v>
      </c>
      <c r="Q96" s="66"/>
      <c r="R96" s="66"/>
      <c r="S96" s="66"/>
      <c r="T96" s="66"/>
      <c r="U96" s="66"/>
      <c r="V96" s="66"/>
      <c r="W96" s="66"/>
      <c r="X96" s="66"/>
      <c r="Y96" s="34"/>
      <c r="Z96" s="34"/>
    </row>
    <row r="97" spans="1:24" s="88" customFormat="1" ht="18" customHeight="1">
      <c r="A97" s="37"/>
      <c r="C97" s="126" t="s">
        <v>76</v>
      </c>
      <c r="D97" s="127"/>
      <c r="E97" s="127"/>
      <c r="F97" s="127"/>
      <c r="G97" s="127"/>
      <c r="H97" s="127"/>
      <c r="I97" s="128"/>
      <c r="K97" s="32"/>
      <c r="L97" s="32"/>
      <c r="M97" s="129">
        <f>$T$101</f>
        <v>378125</v>
      </c>
      <c r="N97" s="32"/>
      <c r="O97" s="37"/>
      <c r="Q97" s="126" t="s">
        <v>76</v>
      </c>
      <c r="R97" s="127"/>
      <c r="S97" s="127"/>
      <c r="T97" s="127"/>
      <c r="U97" s="127"/>
      <c r="V97" s="127"/>
      <c r="W97" s="128"/>
    </row>
    <row r="98" spans="1:24" s="88" customFormat="1" ht="18" customHeight="1">
      <c r="A98" s="37"/>
      <c r="C98" s="130" t="s">
        <v>71</v>
      </c>
      <c r="D98" s="130" t="s">
        <v>72</v>
      </c>
      <c r="E98" s="130" t="s">
        <v>73</v>
      </c>
      <c r="F98" s="131" t="s">
        <v>77</v>
      </c>
      <c r="G98" s="131"/>
      <c r="H98" s="131"/>
      <c r="I98" s="131"/>
      <c r="K98" s="32"/>
      <c r="L98" s="32"/>
      <c r="M98" s="129">
        <f>$S$100</f>
        <v>412500</v>
      </c>
      <c r="N98" s="32"/>
      <c r="O98" s="37"/>
      <c r="Q98" s="130" t="s">
        <v>71</v>
      </c>
      <c r="R98" s="130" t="s">
        <v>72</v>
      </c>
      <c r="S98" s="130" t="s">
        <v>73</v>
      </c>
      <c r="T98" s="131" t="s">
        <v>77</v>
      </c>
      <c r="U98" s="131"/>
      <c r="V98" s="131"/>
      <c r="W98" s="131"/>
    </row>
    <row r="99" spans="1:24" s="88" customFormat="1" ht="18" customHeight="1">
      <c r="A99" s="37"/>
      <c r="C99" s="103" t="s">
        <v>74</v>
      </c>
      <c r="D99" s="138"/>
      <c r="E99" s="139"/>
      <c r="F99" s="140"/>
      <c r="G99" s="141"/>
      <c r="H99" s="141"/>
      <c r="I99" s="142"/>
      <c r="K99" s="32"/>
      <c r="L99" s="32"/>
      <c r="M99" s="129">
        <f>$M$95+$M$96</f>
        <v>584375</v>
      </c>
      <c r="N99" s="32"/>
      <c r="O99" s="37"/>
      <c r="Q99" s="103" t="s">
        <v>74</v>
      </c>
      <c r="R99" s="107">
        <v>3</v>
      </c>
      <c r="S99" s="132">
        <f>AB11</f>
        <v>275000</v>
      </c>
      <c r="T99" s="133">
        <f>R99/12*S99</f>
        <v>68750</v>
      </c>
      <c r="U99" s="134"/>
      <c r="V99" s="134"/>
      <c r="W99" s="135"/>
    </row>
    <row r="100" spans="1:24" s="88" customFormat="1" ht="18" customHeight="1">
      <c r="A100" s="37"/>
      <c r="C100" s="103" t="s">
        <v>75</v>
      </c>
      <c r="D100" s="138"/>
      <c r="E100" s="139"/>
      <c r="F100" s="140"/>
      <c r="G100" s="141"/>
      <c r="H100" s="141"/>
      <c r="I100" s="142"/>
      <c r="K100" s="32"/>
      <c r="L100" s="32"/>
      <c r="M100" s="32"/>
      <c r="N100" s="32"/>
      <c r="O100" s="37"/>
      <c r="Q100" s="103" t="s">
        <v>75</v>
      </c>
      <c r="R100" s="107">
        <v>9</v>
      </c>
      <c r="S100" s="132">
        <f>S99+AD15</f>
        <v>412500</v>
      </c>
      <c r="T100" s="133">
        <f>R100/12*S100</f>
        <v>309375</v>
      </c>
      <c r="U100" s="134"/>
      <c r="V100" s="134"/>
      <c r="W100" s="135"/>
    </row>
    <row r="101" spans="1:24" s="88" customFormat="1" ht="18" customHeight="1">
      <c r="A101" s="37"/>
      <c r="C101" s="136" t="s">
        <v>8</v>
      </c>
      <c r="D101" s="106"/>
      <c r="E101" s="106"/>
      <c r="F101" s="137">
        <f>F100+F99</f>
        <v>0</v>
      </c>
      <c r="G101" s="137"/>
      <c r="H101" s="137"/>
      <c r="I101" s="137"/>
      <c r="K101" s="32"/>
      <c r="L101" s="32"/>
      <c r="M101" s="32">
        <f>$R$99</f>
        <v>3</v>
      </c>
      <c r="N101" s="32"/>
      <c r="O101" s="37"/>
      <c r="Q101" s="136" t="s">
        <v>8</v>
      </c>
      <c r="R101" s="106"/>
      <c r="S101" s="106"/>
      <c r="T101" s="133">
        <f>T100+T99</f>
        <v>378125</v>
      </c>
      <c r="U101" s="134"/>
      <c r="V101" s="134"/>
      <c r="W101" s="135"/>
    </row>
    <row r="102" spans="1:24" ht="18" customHeight="1">
      <c r="M102" s="29">
        <v>6</v>
      </c>
    </row>
    <row r="103" spans="1:24">
      <c r="M103" s="29">
        <f>$R$100</f>
        <v>9</v>
      </c>
    </row>
    <row r="104" spans="1:24" ht="41.25" customHeight="1">
      <c r="D104" s="130" t="s">
        <v>69</v>
      </c>
      <c r="E104" s="143" t="s">
        <v>68</v>
      </c>
      <c r="F104" s="143"/>
      <c r="G104" s="130" t="s">
        <v>70</v>
      </c>
      <c r="R104" s="50" t="s">
        <v>69</v>
      </c>
      <c r="S104" s="72" t="s">
        <v>68</v>
      </c>
      <c r="T104" s="72"/>
      <c r="U104" s="50" t="s">
        <v>70</v>
      </c>
    </row>
    <row r="105" spans="1:24" ht="18" customHeight="1">
      <c r="D105" s="150"/>
      <c r="E105" s="151"/>
      <c r="F105" s="152"/>
      <c r="G105" s="149"/>
      <c r="M105" s="58">
        <f>$U$105</f>
        <v>11.776364958677686</v>
      </c>
      <c r="R105" s="59">
        <f>AC15-AB8*AC8*AD8</f>
        <v>4452938</v>
      </c>
      <c r="S105" s="73">
        <f>T101</f>
        <v>378125</v>
      </c>
      <c r="T105" s="74"/>
      <c r="U105" s="60">
        <f>R105/S105</f>
        <v>11.776364958677686</v>
      </c>
    </row>
    <row r="106" spans="1:24">
      <c r="M106" s="58">
        <f>$R$110</f>
        <v>59</v>
      </c>
    </row>
    <row r="107" spans="1:24" s="88" customFormat="1" ht="52.5" customHeight="1">
      <c r="A107" s="37" t="s">
        <v>11</v>
      </c>
      <c r="B107" s="66" t="str">
        <f>P107</f>
        <v>Enter Your Name Here Company has a stock price of $59 per share on December 31, 20X5.  Calculate the price/earnings ratio.  Round your answer to two decimal places</v>
      </c>
      <c r="C107" s="66"/>
      <c r="D107" s="66"/>
      <c r="E107" s="66"/>
      <c r="F107" s="66"/>
      <c r="G107" s="66"/>
      <c r="H107" s="66"/>
      <c r="I107" s="66"/>
      <c r="J107" s="66"/>
      <c r="K107" s="38"/>
      <c r="L107" s="38"/>
      <c r="M107" s="144">
        <f>$M$105+$M$106</f>
        <v>70.776364958677689</v>
      </c>
      <c r="N107" s="32"/>
      <c r="O107" s="37" t="s">
        <v>11</v>
      </c>
      <c r="P107" s="66" t="str">
        <f>CONCATENATE(Identification!$B$1, " Company has a stock price of ",TEXT(AB15,"$#,###"), " per share on December 31, 20X5.  Calculate the price/earnings ratio.  Round your answer to two decimal places")</f>
        <v>Enter Your Name Here Company has a stock price of $59 per share on December 31, 20X5.  Calculate the price/earnings ratio.  Round your answer to two decimal places</v>
      </c>
      <c r="Q107" s="66"/>
      <c r="R107" s="66"/>
      <c r="S107" s="66"/>
      <c r="T107" s="66"/>
      <c r="U107" s="66"/>
      <c r="V107" s="66"/>
      <c r="W107" s="66"/>
      <c r="X107" s="66"/>
    </row>
    <row r="108" spans="1:24">
      <c r="M108" s="58">
        <f>$U$110</f>
        <v>5.0100349477131729</v>
      </c>
    </row>
    <row r="109" spans="1:24" s="88" customFormat="1" ht="18" customHeight="1">
      <c r="A109" s="37"/>
      <c r="D109" s="130" t="s">
        <v>80</v>
      </c>
      <c r="E109" s="143" t="s">
        <v>70</v>
      </c>
      <c r="F109" s="143"/>
      <c r="G109" s="130" t="s">
        <v>81</v>
      </c>
      <c r="K109" s="32"/>
      <c r="L109" s="32"/>
      <c r="M109" s="144">
        <f>M107+$M$108</f>
        <v>75.786399906390869</v>
      </c>
      <c r="N109" s="32"/>
      <c r="O109" s="37"/>
      <c r="R109" s="130" t="s">
        <v>80</v>
      </c>
      <c r="S109" s="143" t="s">
        <v>70</v>
      </c>
      <c r="T109" s="143"/>
      <c r="U109" s="130" t="s">
        <v>81</v>
      </c>
    </row>
    <row r="110" spans="1:24" s="88" customFormat="1" ht="18" customHeight="1">
      <c r="A110" s="37"/>
      <c r="D110" s="149"/>
      <c r="E110" s="154"/>
      <c r="F110" s="155"/>
      <c r="G110" s="153"/>
      <c r="K110" s="32"/>
      <c r="L110" s="32"/>
      <c r="M110" s="32"/>
      <c r="N110" s="32"/>
      <c r="O110" s="37"/>
      <c r="R110" s="145">
        <f>AB15</f>
        <v>59</v>
      </c>
      <c r="S110" s="146">
        <f>U105</f>
        <v>11.776364958677686</v>
      </c>
      <c r="T110" s="147"/>
      <c r="U110" s="148">
        <f>R110/S110</f>
        <v>5.0100349477131729</v>
      </c>
    </row>
    <row r="111" spans="1:24"/>
  </sheetData>
  <sheetProtection algorithmName="SHA-512" hashValue="3aAihnozChvCiUTk3t9m6hqqsNqGr8fb/hWFTZ/B//MhX0HbbClRAY7asBtyZeKRd4MNf9elpPL5gzKY7F6JIw==" saltValue="VbcEiPPCNd/smpUuQXo2aA==" spinCount="100000" sheet="1" objects="1" scenarios="1"/>
  <sortState ref="M94:M99">
    <sortCondition ref="M94"/>
  </sortState>
  <mergeCells count="105">
    <mergeCell ref="D72:E72"/>
    <mergeCell ref="D78:E78"/>
    <mergeCell ref="B1:J1"/>
    <mergeCell ref="F101:I101"/>
    <mergeCell ref="E104:F104"/>
    <mergeCell ref="E105:F105"/>
    <mergeCell ref="B107:J107"/>
    <mergeCell ref="E109:F109"/>
    <mergeCell ref="E110:F110"/>
    <mergeCell ref="B80:J80"/>
    <mergeCell ref="C82:I82"/>
    <mergeCell ref="C94:I94"/>
    <mergeCell ref="B96:J96"/>
    <mergeCell ref="C97:I97"/>
    <mergeCell ref="D69:E69"/>
    <mergeCell ref="D70:E70"/>
    <mergeCell ref="D74:E74"/>
    <mergeCell ref="D75:E75"/>
    <mergeCell ref="D76:E76"/>
    <mergeCell ref="C57:E57"/>
    <mergeCell ref="B61:J61"/>
    <mergeCell ref="F63:I63"/>
    <mergeCell ref="F64:I64"/>
    <mergeCell ref="B66:J66"/>
    <mergeCell ref="D68:E68"/>
    <mergeCell ref="C51:E51"/>
    <mergeCell ref="C52:E52"/>
    <mergeCell ref="C53:E53"/>
    <mergeCell ref="C54:E54"/>
    <mergeCell ref="C55:E55"/>
    <mergeCell ref="C56:E56"/>
    <mergeCell ref="C45:E45"/>
    <mergeCell ref="C46:E46"/>
    <mergeCell ref="C47:E47"/>
    <mergeCell ref="C48:E48"/>
    <mergeCell ref="C49:E49"/>
    <mergeCell ref="C50:E50"/>
    <mergeCell ref="P107:X107"/>
    <mergeCell ref="S109:T109"/>
    <mergeCell ref="S110:T110"/>
    <mergeCell ref="B3:J3"/>
    <mergeCell ref="B5:D5"/>
    <mergeCell ref="G5:H5"/>
    <mergeCell ref="B7:J7"/>
    <mergeCell ref="D10:I10"/>
    <mergeCell ref="D11:I11"/>
    <mergeCell ref="D12:I12"/>
    <mergeCell ref="T100:W100"/>
    <mergeCell ref="Q97:W97"/>
    <mergeCell ref="Q101:S101"/>
    <mergeCell ref="T101:W101"/>
    <mergeCell ref="F98:I98"/>
    <mergeCell ref="F99:I99"/>
    <mergeCell ref="F100:I100"/>
    <mergeCell ref="C101:E101"/>
    <mergeCell ref="P5:R5"/>
    <mergeCell ref="Q53:S53"/>
    <mergeCell ref="Q54:S54"/>
    <mergeCell ref="Q57:S57"/>
    <mergeCell ref="Q48:S48"/>
    <mergeCell ref="Q49:S49"/>
    <mergeCell ref="P66:X66"/>
    <mergeCell ref="R68:S68"/>
    <mergeCell ref="R69:S69"/>
    <mergeCell ref="R70:S70"/>
    <mergeCell ref="R72:U72"/>
    <mergeCell ref="R74:S74"/>
    <mergeCell ref="R12:W12"/>
    <mergeCell ref="T63:W63"/>
    <mergeCell ref="T64:W64"/>
    <mergeCell ref="Q51:S51"/>
    <mergeCell ref="Q52:S52"/>
    <mergeCell ref="P61:X61"/>
    <mergeCell ref="Q94:W94"/>
    <mergeCell ref="P96:X96"/>
    <mergeCell ref="S104:T104"/>
    <mergeCell ref="S105:T105"/>
    <mergeCell ref="T98:W98"/>
    <mergeCell ref="T99:W99"/>
    <mergeCell ref="R75:S75"/>
    <mergeCell ref="R76:S76"/>
    <mergeCell ref="R78:U78"/>
    <mergeCell ref="P80:X80"/>
    <mergeCell ref="Q82:W82"/>
    <mergeCell ref="B39:I39"/>
    <mergeCell ref="B40:I40"/>
    <mergeCell ref="B41:I41"/>
    <mergeCell ref="C44:E44"/>
    <mergeCell ref="P39:W39"/>
    <mergeCell ref="P40:W40"/>
    <mergeCell ref="P41:W41"/>
    <mergeCell ref="AB6:AD6"/>
    <mergeCell ref="AB9:AD9"/>
    <mergeCell ref="U5:V5"/>
    <mergeCell ref="R10:W10"/>
    <mergeCell ref="R11:W11"/>
    <mergeCell ref="P3:X3"/>
    <mergeCell ref="P7:X7"/>
    <mergeCell ref="Q50:S50"/>
    <mergeCell ref="Q55:S55"/>
    <mergeCell ref="Q56:S56"/>
    <mergeCell ref="Q44:S44"/>
    <mergeCell ref="Q45:S45"/>
    <mergeCell ref="Q46:S46"/>
    <mergeCell ref="Q47:S47"/>
  </mergeCells>
  <conditionalFormatting sqref="G5:H5">
    <cfRule type="cellIs" dxfId="28" priority="29" operator="notEqual">
      <formula>U5</formula>
    </cfRule>
  </conditionalFormatting>
  <conditionalFormatting sqref="H44">
    <cfRule type="cellIs" dxfId="27" priority="28" operator="notEqual">
      <formula>V44</formula>
    </cfRule>
  </conditionalFormatting>
  <conditionalFormatting sqref="H45">
    <cfRule type="cellIs" dxfId="26" priority="27" operator="notEqual">
      <formula>V45</formula>
    </cfRule>
  </conditionalFormatting>
  <conditionalFormatting sqref="G48">
    <cfRule type="cellIs" dxfId="25" priority="26" operator="notEqual">
      <formula>U48</formula>
    </cfRule>
  </conditionalFormatting>
  <conditionalFormatting sqref="G49">
    <cfRule type="cellIs" dxfId="24" priority="25" operator="notEqual">
      <formula>U49</formula>
    </cfRule>
  </conditionalFormatting>
  <conditionalFormatting sqref="G50">
    <cfRule type="cellIs" dxfId="23" priority="24" operator="notEqual">
      <formula>U50</formula>
    </cfRule>
  </conditionalFormatting>
  <conditionalFormatting sqref="H52">
    <cfRule type="cellIs" dxfId="22" priority="23" operator="notEqual">
      <formula>V52</formula>
    </cfRule>
  </conditionalFormatting>
  <conditionalFormatting sqref="G55">
    <cfRule type="cellIs" dxfId="21" priority="22" operator="notEqual">
      <formula>U55</formula>
    </cfRule>
  </conditionalFormatting>
  <conditionalFormatting sqref="G56">
    <cfRule type="cellIs" dxfId="20" priority="21" operator="notEqual">
      <formula>U56</formula>
    </cfRule>
  </conditionalFormatting>
  <conditionalFormatting sqref="G69">
    <cfRule type="cellIs" dxfId="19" priority="20" operator="notEqual">
      <formula>U69</formula>
    </cfRule>
  </conditionalFormatting>
  <conditionalFormatting sqref="G75">
    <cfRule type="cellIs" dxfId="18" priority="19" operator="notEqual">
      <formula>U75</formula>
    </cfRule>
  </conditionalFormatting>
  <conditionalFormatting sqref="H76">
    <cfRule type="cellIs" dxfId="17" priority="18" operator="notEqual">
      <formula>V76</formula>
    </cfRule>
  </conditionalFormatting>
  <conditionalFormatting sqref="H70">
    <cfRule type="cellIs" dxfId="16" priority="17" operator="notEqual">
      <formula>V70</formula>
    </cfRule>
  </conditionalFormatting>
  <conditionalFormatting sqref="D69:E69">
    <cfRule type="cellIs" dxfId="15" priority="16" operator="notEqual">
      <formula>R69</formula>
    </cfRule>
  </conditionalFormatting>
  <conditionalFormatting sqref="D70:E70">
    <cfRule type="cellIs" dxfId="14" priority="15" operator="notEqual">
      <formula>R70</formula>
    </cfRule>
  </conditionalFormatting>
  <conditionalFormatting sqref="D75:E75">
    <cfRule type="cellIs" dxfId="13" priority="14" operator="notEqual">
      <formula>R75</formula>
    </cfRule>
  </conditionalFormatting>
  <conditionalFormatting sqref="D76:E76">
    <cfRule type="cellIs" dxfId="12" priority="13" operator="notEqual">
      <formula>R76</formula>
    </cfRule>
  </conditionalFormatting>
  <conditionalFormatting sqref="D99">
    <cfRule type="cellIs" dxfId="11" priority="12" operator="notEqual">
      <formula>R99</formula>
    </cfRule>
  </conditionalFormatting>
  <conditionalFormatting sqref="E99">
    <cfRule type="cellIs" dxfId="10" priority="11" operator="notEqual">
      <formula>S99</formula>
    </cfRule>
  </conditionalFormatting>
  <conditionalFormatting sqref="D100">
    <cfRule type="cellIs" dxfId="9" priority="10" operator="notEqual">
      <formula>R100</formula>
    </cfRule>
  </conditionalFormatting>
  <conditionalFormatting sqref="E100">
    <cfRule type="cellIs" dxfId="8" priority="9" operator="notEqual">
      <formula>S100</formula>
    </cfRule>
  </conditionalFormatting>
  <conditionalFormatting sqref="F99:I99">
    <cfRule type="cellIs" dxfId="7" priority="8" operator="notEqual">
      <formula>T99</formula>
    </cfRule>
  </conditionalFormatting>
  <conditionalFormatting sqref="F100:I100">
    <cfRule type="cellIs" dxfId="6" priority="7" operator="notEqual">
      <formula>T100</formula>
    </cfRule>
  </conditionalFormatting>
  <conditionalFormatting sqref="D105">
    <cfRule type="cellIs" dxfId="5" priority="6" operator="notEqual">
      <formula>R105</formula>
    </cfRule>
  </conditionalFormatting>
  <conditionalFormatting sqref="G105">
    <cfRule type="cellIs" dxfId="4" priority="5" operator="notEqual">
      <formula>U105</formula>
    </cfRule>
  </conditionalFormatting>
  <conditionalFormatting sqref="D110">
    <cfRule type="cellIs" dxfId="3" priority="4" operator="notEqual">
      <formula>R110</formula>
    </cfRule>
  </conditionalFormatting>
  <conditionalFormatting sqref="G110">
    <cfRule type="cellIs" dxfId="2" priority="3" operator="notEqual">
      <formula>U110</formula>
    </cfRule>
  </conditionalFormatting>
  <conditionalFormatting sqref="E105:F105">
    <cfRule type="cellIs" dxfId="1" priority="2" operator="notEqual">
      <formula>S105</formula>
    </cfRule>
  </conditionalFormatting>
  <conditionalFormatting sqref="E110:F110">
    <cfRule type="cellIs" dxfId="0" priority="1" operator="notEqual">
      <formula>S110</formula>
    </cfRule>
  </conditionalFormatting>
  <dataValidations count="7">
    <dataValidation type="list" showInputMessage="1" showErrorMessage="1" sqref="G5:H5">
      <formula1>First</formula1>
    </dataValidation>
    <dataValidation type="list" showInputMessage="1" showErrorMessage="1" sqref="H44:H45 G48:G50 H52 G55:G56 D105 H76 G75 H70 G69">
      <formula1>values</formula1>
    </dataValidation>
    <dataValidation type="list" showInputMessage="1" showErrorMessage="1" sqref="D69:E70 D75:E76">
      <formula1>accounts</formula1>
    </dataValidation>
    <dataValidation type="list" showInputMessage="1" showErrorMessage="1" sqref="E99:E100 F99:I100 E105:F105">
      <formula1>shares</formula1>
    </dataValidation>
    <dataValidation type="list" showInputMessage="1" showErrorMessage="1" sqref="D99:D100">
      <formula1>months</formula1>
    </dataValidation>
    <dataValidation type="list" showInputMessage="1" showErrorMessage="1" sqref="G105 D110 E110:F110">
      <formula1>ratio</formula1>
    </dataValidation>
    <dataValidation type="list" showInputMessage="1" showErrorMessage="1" sqref="G110">
      <formula1>PE</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Identification</vt:lpstr>
      <vt:lpstr>Problem</vt:lpstr>
      <vt:lpstr>accounts</vt:lpstr>
      <vt:lpstr>First</vt:lpstr>
      <vt:lpstr>months</vt:lpstr>
      <vt:lpstr>PE</vt:lpstr>
      <vt:lpstr>ratio</vt:lpstr>
      <vt:lpstr>shares</vt:lpstr>
      <vt:lpstr>values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lmwalther@live.com</cp:lastModifiedBy>
  <dcterms:created xsi:type="dcterms:W3CDTF">2017-08-15T23:14:48Z</dcterms:created>
  <dcterms:modified xsi:type="dcterms:W3CDTF">2017-09-11T23:27:52Z</dcterms:modified>
</cp:coreProperties>
</file>