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showInkAnnotation="0" autoCompressPictures="0"/>
  <mc:AlternateContent xmlns:mc="http://schemas.openxmlformats.org/markup-compatibility/2006">
    <mc:Choice Requires="x15">
      <x15ac:absPath xmlns:x15ac="http://schemas.microsoft.com/office/spreadsheetml/2010/11/ac" url="C:\Users\larry\Desktop\"/>
    </mc:Choice>
  </mc:AlternateContent>
  <workbookProtection workbookAlgorithmName="SHA-512" workbookHashValue="EkBwZtrT2ioYB+09ELrYWdSKNliWrc4EHSBnQZx7JQHDeaeA+SWcmlgj7weYQvuTAxkcZreahiwqgkKyZvnDkA==" workbookSaltValue="nd5iIKkzakQbtAS9s98ncA==" workbookSpinCount="100000" lockStructure="1"/>
  <bookViews>
    <workbookView xWindow="0" yWindow="0" windowWidth="28800" windowHeight="12210" tabRatio="500" xr2:uid="{00000000-000D-0000-FFFF-FFFF00000000}"/>
  </bookViews>
  <sheets>
    <sheet name="Identification" sheetId="1" r:id="rId1"/>
    <sheet name="Problem" sheetId="5" r:id="rId2"/>
  </sheets>
  <definedNames>
    <definedName name="account1">Problem!$N$77:$N$89</definedName>
    <definedName name="Account2">Problem!$N$136:$N$149</definedName>
    <definedName name="Direct">Problem!$O$77:$O$92</definedName>
    <definedName name="Indirect">Problem!$O$136:$O$149</definedName>
    <definedName name="Schedule">Problem!$O$112:$O$128</definedName>
    <definedName name="solver_adj" localSheetId="1" hidden="1">Problem!$V$49</definedName>
    <definedName name="solver_cvg" localSheetId="1" hidden="1">0.0001</definedName>
    <definedName name="solver_drv" localSheetId="1" hidden="1">1</definedName>
    <definedName name="solver_eng" localSheetId="1" hidden="1">1</definedName>
    <definedName name="solver_itr" localSheetId="1" hidden="1">2147483647</definedName>
    <definedName name="solver_lin" localSheetId="1" hidden="1">2</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opt" localSheetId="1" hidden="1">Problem!$V$99</definedName>
    <definedName name="solver_pre" localSheetId="1" hidden="1">0.000001</definedName>
    <definedName name="solver_rbv" localSheetId="1" hidden="1">1</definedName>
    <definedName name="solver_rlx" localSheetId="1" hidden="1">1</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200000</definedName>
    <definedName name="solver_ver" localSheetId="1" hidden="1">2</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B8" i="1" l="1"/>
  <c r="B9" i="1"/>
  <c r="B10" i="1"/>
  <c r="B11" i="1"/>
  <c r="B12" i="1"/>
  <c r="B13" i="1"/>
  <c r="B14" i="1"/>
  <c r="B15" i="1"/>
  <c r="B16" i="1"/>
  <c r="B17" i="1"/>
  <c r="B18" i="1"/>
  <c r="B19" i="1"/>
  <c r="B20" i="1"/>
  <c r="B21" i="1"/>
  <c r="B23" i="1"/>
  <c r="D71" i="1"/>
  <c r="AC6" i="5"/>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AB6" i="5"/>
  <c r="AB11" i="5"/>
  <c r="AC11" i="5"/>
  <c r="AA12" i="5"/>
  <c r="T34" i="5"/>
  <c r="V34" i="5"/>
  <c r="V104" i="5"/>
  <c r="O86" i="5"/>
  <c r="T85" i="5"/>
  <c r="O85" i="5"/>
  <c r="T16" i="5"/>
  <c r="T17" i="5"/>
  <c r="T18" i="5"/>
  <c r="T19" i="5"/>
  <c r="V16" i="5"/>
  <c r="G16" i="5"/>
  <c r="V17" i="5"/>
  <c r="G17" i="5"/>
  <c r="V18" i="5"/>
  <c r="G18" i="5"/>
  <c r="G19" i="5"/>
  <c r="E16" i="5"/>
  <c r="E17" i="5"/>
  <c r="E18" i="5"/>
  <c r="E19" i="5"/>
  <c r="X94" i="5"/>
  <c r="X96" i="5"/>
  <c r="M95" i="5"/>
  <c r="M96" i="5"/>
  <c r="M94" i="5"/>
  <c r="M90" i="5"/>
  <c r="M89" i="5"/>
  <c r="M82" i="5"/>
  <c r="M83" i="5"/>
  <c r="M84" i="5"/>
  <c r="M85" i="5"/>
  <c r="M81" i="5"/>
  <c r="T30" i="5"/>
  <c r="V30" i="5"/>
  <c r="T96" i="5"/>
  <c r="Y96" i="5"/>
  <c r="Y95" i="5"/>
  <c r="T35" i="5"/>
  <c r="T36" i="5"/>
  <c r="V35" i="5"/>
  <c r="V36" i="5"/>
  <c r="T94" i="5"/>
  <c r="Y94" i="5"/>
  <c r="X95" i="5"/>
  <c r="T90" i="5"/>
  <c r="Y90" i="5"/>
  <c r="T89" i="5"/>
  <c r="Y89" i="5"/>
  <c r="X90" i="5"/>
  <c r="X89" i="5"/>
  <c r="Y85" i="5"/>
  <c r="T84" i="5"/>
  <c r="Y84" i="5"/>
  <c r="T83" i="5"/>
  <c r="Y83" i="5"/>
  <c r="V27" i="5"/>
  <c r="T27" i="5"/>
  <c r="T82" i="5"/>
  <c r="Y82" i="5"/>
  <c r="V50" i="5"/>
  <c r="T13" i="5"/>
  <c r="V13" i="5"/>
  <c r="V26" i="5"/>
  <c r="T26" i="5"/>
  <c r="T81" i="5"/>
  <c r="Y81" i="5"/>
  <c r="X85" i="5"/>
  <c r="X84" i="5"/>
  <c r="X83" i="5"/>
  <c r="X82" i="5"/>
  <c r="X81" i="5"/>
  <c r="N144" i="5"/>
  <c r="N148" i="5"/>
  <c r="N140" i="5"/>
  <c r="N146" i="5"/>
  <c r="N149" i="5"/>
  <c r="N147" i="5"/>
  <c r="N138" i="5"/>
  <c r="N142" i="5"/>
  <c r="N137" i="5"/>
  <c r="N143" i="5"/>
  <c r="N141" i="5"/>
  <c r="N139" i="5"/>
  <c r="N145" i="5"/>
  <c r="X126" i="5"/>
  <c r="S126" i="5"/>
  <c r="V126" i="5"/>
  <c r="T160" i="5"/>
  <c r="O146" i="5"/>
  <c r="X125" i="5"/>
  <c r="S125" i="5"/>
  <c r="T125" i="5"/>
  <c r="V155" i="5"/>
  <c r="O148" i="5"/>
  <c r="T129" i="5"/>
  <c r="V154" i="5"/>
  <c r="O139" i="5"/>
  <c r="X127" i="5"/>
  <c r="S127" i="5"/>
  <c r="V127" i="5"/>
  <c r="X128" i="5"/>
  <c r="S128" i="5"/>
  <c r="V128" i="5"/>
  <c r="T153" i="5"/>
  <c r="O141" i="5"/>
  <c r="X119" i="5"/>
  <c r="S119" i="5"/>
  <c r="T119" i="5"/>
  <c r="V149" i="5"/>
  <c r="O144" i="5"/>
  <c r="T148" i="5"/>
  <c r="O147" i="5"/>
  <c r="X124" i="5"/>
  <c r="S124" i="5"/>
  <c r="T124" i="5"/>
  <c r="V144" i="5"/>
  <c r="O137" i="5"/>
  <c r="X123" i="5"/>
  <c r="S123" i="5"/>
  <c r="V123" i="5"/>
  <c r="T143" i="5"/>
  <c r="O140" i="5"/>
  <c r="X116" i="5"/>
  <c r="S116" i="5"/>
  <c r="V116" i="5"/>
  <c r="T142" i="5"/>
  <c r="O138" i="5"/>
  <c r="T12" i="5"/>
  <c r="X115" i="5"/>
  <c r="V12" i="5"/>
  <c r="S115" i="5"/>
  <c r="T115" i="5"/>
  <c r="V141" i="5"/>
  <c r="O145" i="5"/>
  <c r="V140" i="5"/>
  <c r="O143" i="5"/>
  <c r="T20" i="5"/>
  <c r="X122" i="5"/>
  <c r="V20" i="5"/>
  <c r="S122" i="5"/>
  <c r="V122" i="5"/>
  <c r="T139" i="5"/>
  <c r="O142" i="5"/>
  <c r="V49" i="5"/>
  <c r="V51" i="5"/>
  <c r="V57" i="5"/>
  <c r="V58" i="5"/>
  <c r="V60" i="5"/>
  <c r="V129" i="5"/>
  <c r="T138" i="5"/>
  <c r="O149" i="5"/>
  <c r="O128" i="5"/>
  <c r="O117" i="5"/>
  <c r="O119" i="5"/>
  <c r="O114" i="5"/>
  <c r="O124" i="5"/>
  <c r="O127" i="5"/>
  <c r="O115" i="5"/>
  <c r="O118" i="5"/>
  <c r="O120" i="5"/>
  <c r="O121" i="5"/>
  <c r="X118" i="5"/>
  <c r="S118" i="5"/>
  <c r="T118" i="5"/>
  <c r="O123" i="5"/>
  <c r="X117" i="5"/>
  <c r="S117" i="5"/>
  <c r="V117" i="5"/>
  <c r="O126" i="5"/>
  <c r="O116" i="5"/>
  <c r="O122" i="5"/>
  <c r="T11" i="5"/>
  <c r="X114" i="5"/>
  <c r="V11" i="5"/>
  <c r="S114" i="5"/>
  <c r="T114" i="5"/>
  <c r="O125" i="5"/>
  <c r="V114" i="5"/>
  <c r="O113" i="5"/>
  <c r="N89" i="5"/>
  <c r="N88" i="5"/>
  <c r="N87" i="5"/>
  <c r="N86" i="5"/>
  <c r="N85" i="5"/>
  <c r="N84" i="5"/>
  <c r="N82" i="5"/>
  <c r="N81" i="5"/>
  <c r="N80" i="5"/>
  <c r="N79" i="5"/>
  <c r="N78" i="5"/>
  <c r="N83" i="5"/>
  <c r="V100" i="5"/>
  <c r="V79" i="5"/>
  <c r="V85" i="5"/>
  <c r="V86" i="5"/>
  <c r="V91" i="5"/>
  <c r="V97" i="5"/>
  <c r="V99" i="5"/>
  <c r="V101" i="5"/>
  <c r="O90" i="5"/>
  <c r="O83" i="5"/>
  <c r="O88" i="5"/>
  <c r="O78" i="5"/>
  <c r="O80" i="5"/>
  <c r="O81" i="5"/>
  <c r="O79" i="5"/>
  <c r="O89" i="5"/>
  <c r="O84" i="5"/>
  <c r="O82" i="5"/>
  <c r="O87" i="5"/>
  <c r="O91" i="5"/>
  <c r="O92" i="5"/>
  <c r="B108" i="5"/>
  <c r="B72" i="5"/>
  <c r="B1" i="5"/>
  <c r="Q3" i="5"/>
  <c r="B3" i="5"/>
  <c r="G50" i="5"/>
  <c r="G49" i="5"/>
  <c r="V37" i="5"/>
  <c r="G37" i="5"/>
  <c r="G36" i="5"/>
  <c r="G35" i="5"/>
  <c r="G34" i="5"/>
  <c r="T37" i="5"/>
  <c r="E37" i="5"/>
  <c r="E36" i="5"/>
  <c r="E35" i="5"/>
  <c r="E34" i="5"/>
  <c r="E30" i="5"/>
  <c r="G30" i="5"/>
  <c r="G27" i="5"/>
  <c r="G26" i="5"/>
  <c r="E27" i="5"/>
  <c r="E26" i="5"/>
  <c r="G20" i="5"/>
  <c r="E20" i="5"/>
  <c r="G13" i="5"/>
  <c r="G12" i="5"/>
  <c r="G11" i="5"/>
  <c r="E13" i="5"/>
  <c r="E12" i="5"/>
  <c r="E11" i="5"/>
  <c r="E14" i="5"/>
  <c r="I118" i="5"/>
  <c r="D118" i="5"/>
  <c r="I126" i="5"/>
  <c r="D126" i="5"/>
  <c r="G51" i="5"/>
  <c r="G57" i="5"/>
  <c r="G58" i="5"/>
  <c r="G60" i="5"/>
  <c r="I115" i="5"/>
  <c r="D115" i="5"/>
  <c r="I124" i="5"/>
  <c r="D124" i="5"/>
  <c r="I122" i="5"/>
  <c r="D122" i="5"/>
  <c r="I116" i="5"/>
  <c r="D116" i="5"/>
  <c r="I123" i="5"/>
  <c r="D123" i="5"/>
  <c r="I145" i="5"/>
  <c r="I119" i="5"/>
  <c r="D119" i="5"/>
  <c r="I150" i="5"/>
  <c r="I127" i="5"/>
  <c r="D127" i="5"/>
  <c r="I128" i="5"/>
  <c r="D128" i="5"/>
  <c r="I125" i="5"/>
  <c r="D125" i="5"/>
  <c r="I156" i="5"/>
  <c r="I157" i="5"/>
  <c r="I129" i="5"/>
  <c r="I130" i="5"/>
  <c r="D129" i="5"/>
  <c r="D130" i="5"/>
  <c r="I114" i="5"/>
  <c r="I117" i="5"/>
  <c r="I120" i="5"/>
  <c r="D114" i="5"/>
  <c r="D117" i="5"/>
  <c r="D120" i="5"/>
  <c r="G85" i="5"/>
  <c r="G86" i="5"/>
  <c r="G91" i="5"/>
  <c r="G97" i="5"/>
  <c r="G28" i="5"/>
  <c r="G31" i="5"/>
  <c r="G38" i="5"/>
  <c r="G39" i="5"/>
  <c r="E28" i="5"/>
  <c r="E31" i="5"/>
  <c r="E38" i="5"/>
  <c r="E39" i="5"/>
  <c r="G14" i="5"/>
  <c r="G21" i="5"/>
  <c r="G22" i="5"/>
  <c r="E21" i="5"/>
  <c r="E22" i="5"/>
  <c r="T38" i="5"/>
  <c r="V38" i="5"/>
  <c r="V28" i="5"/>
  <c r="V31" i="5"/>
  <c r="V39" i="5"/>
  <c r="T28" i="5"/>
  <c r="T31" i="5"/>
  <c r="V14" i="5"/>
  <c r="V19" i="5"/>
  <c r="V21" i="5"/>
  <c r="V22" i="5"/>
  <c r="T14" i="5"/>
  <c r="T21" i="5"/>
  <c r="T22" i="5"/>
  <c r="T39" i="5"/>
  <c r="X156" i="5"/>
  <c r="X145" i="5"/>
  <c r="X150" i="5"/>
  <c r="X157" i="5"/>
  <c r="V160" i="5"/>
  <c r="V125" i="5"/>
  <c r="T126" i="5"/>
  <c r="T116" i="5"/>
  <c r="T123" i="5"/>
  <c r="X129" i="5"/>
  <c r="S129" i="5"/>
  <c r="V124" i="5"/>
  <c r="T127" i="5"/>
  <c r="T128" i="5"/>
  <c r="T122" i="5"/>
  <c r="V115" i="5"/>
  <c r="V118" i="5"/>
  <c r="V119" i="5"/>
  <c r="T117" i="5"/>
  <c r="E71" i="1"/>
  <c r="AD6" i="5"/>
  <c r="AE11" i="5"/>
  <c r="AF11" i="5"/>
  <c r="X130" i="5"/>
  <c r="S130" i="5"/>
  <c r="X120" i="5"/>
  <c r="S120" i="5"/>
  <c r="G71" i="1"/>
  <c r="AF6" i="5"/>
  <c r="F71" i="1"/>
  <c r="AE6" i="5"/>
  <c r="G72" i="1"/>
  <c r="AF7" i="5"/>
  <c r="F72" i="1"/>
  <c r="E72" i="1"/>
  <c r="AD7" i="5"/>
  <c r="AE7" i="5"/>
  <c r="D72" i="1"/>
  <c r="AC7" i="5"/>
  <c r="C72" i="1"/>
  <c r="AB7" i="5"/>
  <c r="H71" i="1"/>
  <c r="C73" i="1"/>
  <c r="AB13" i="5"/>
  <c r="AB8" i="5"/>
  <c r="AG6" i="5"/>
  <c r="H72" i="1"/>
  <c r="E73" i="1"/>
  <c r="F73" i="1"/>
  <c r="G73" i="1"/>
  <c r="D73" i="1"/>
  <c r="H73" i="1"/>
  <c r="C74" i="1"/>
  <c r="AG8" i="5"/>
  <c r="AC8" i="5"/>
  <c r="AF8" i="5"/>
  <c r="AE8" i="5"/>
  <c r="AD8" i="5"/>
  <c r="AG7" i="5"/>
  <c r="AB9" i="5"/>
  <c r="D74" i="1"/>
  <c r="H74" i="1"/>
  <c r="F74" i="1"/>
  <c r="G74" i="1"/>
  <c r="E74" i="1"/>
  <c r="AG9" i="5"/>
  <c r="AC9" i="5"/>
  <c r="AE9" i="5"/>
  <c r="AD9" i="5"/>
  <c r="AF9" i="5"/>
</calcChain>
</file>

<file path=xl/sharedStrings.xml><?xml version="1.0" encoding="utf-8"?>
<sst xmlns="http://schemas.openxmlformats.org/spreadsheetml/2006/main" count="259" uniqueCount="115">
  <si>
    <t>Student Name:</t>
  </si>
  <si>
    <t>5 Digit Identification Number:</t>
  </si>
  <si>
    <t>Date:</t>
  </si>
  <si>
    <t>Random Number</t>
  </si>
  <si>
    <t>Randon numbers</t>
  </si>
  <si>
    <t>A)</t>
  </si>
  <si>
    <t>B)</t>
  </si>
  <si>
    <t>Your Name Here</t>
  </si>
  <si>
    <t>Cost of goods sold</t>
  </si>
  <si>
    <t>Net income</t>
  </si>
  <si>
    <t>Income Statement</t>
  </si>
  <si>
    <t>Sales</t>
  </si>
  <si>
    <t>Salaries</t>
  </si>
  <si>
    <t>Gross profit</t>
  </si>
  <si>
    <t>Retained earnings</t>
  </si>
  <si>
    <t>Total stockholders' equity</t>
  </si>
  <si>
    <t>Cash</t>
  </si>
  <si>
    <t>Comparative Balance Sheet</t>
  </si>
  <si>
    <t>Assets</t>
    <phoneticPr fontId="0" type="noConversion"/>
  </si>
  <si>
    <t>Current assets</t>
  </si>
  <si>
    <t>Accounts receivable</t>
  </si>
  <si>
    <t>Inventories</t>
  </si>
  <si>
    <t>Total current assets</t>
  </si>
  <si>
    <t>Property, plant, &amp; equipment</t>
    <phoneticPr fontId="0" type="noConversion"/>
  </si>
  <si>
    <t>Land</t>
  </si>
  <si>
    <t>Building</t>
  </si>
  <si>
    <t>Equipment</t>
  </si>
  <si>
    <t>Less: Accumulated depreciation</t>
  </si>
  <si>
    <t>Total property, plant, &amp; equipment</t>
    <phoneticPr fontId="0" type="noConversion"/>
  </si>
  <si>
    <t>Total assets</t>
  </si>
  <si>
    <t>Liabilities</t>
    <phoneticPr fontId="0" type="noConversion"/>
  </si>
  <si>
    <t>Current liabilities</t>
  </si>
  <si>
    <t>Accounts payable</t>
  </si>
  <si>
    <t>Total current liabilities</t>
  </si>
  <si>
    <t>Long-term liabilities</t>
  </si>
  <si>
    <t>Long-term note payable</t>
  </si>
  <si>
    <t>Total liabilities</t>
  </si>
  <si>
    <t>Stockholders' equity</t>
    <phoneticPr fontId="0" type="noConversion"/>
  </si>
  <si>
    <t>Common stock ($1 par)</t>
  </si>
  <si>
    <t>Paid-in capital in excess of par</t>
  </si>
  <si>
    <t>Total liabilities and equity</t>
    <phoneticPr fontId="0" type="noConversion"/>
  </si>
  <si>
    <t>Operating expenses and other</t>
  </si>
  <si>
    <t>Interest</t>
  </si>
  <si>
    <t>Depreciation</t>
  </si>
  <si>
    <t>Income before income tax</t>
  </si>
  <si>
    <t>Income tax</t>
  </si>
  <si>
    <t>Debit</t>
  </si>
  <si>
    <t>Credit</t>
  </si>
  <si>
    <t>Debits</t>
  </si>
  <si>
    <t>Inventory</t>
  </si>
  <si>
    <t>Credits</t>
  </si>
  <si>
    <t>Accumulated depreciation</t>
  </si>
  <si>
    <t>Cash flows from operating activities:</t>
  </si>
  <si>
    <t>Cash flows from investing activities:</t>
  </si>
  <si>
    <t>Cash flows from financing activities:</t>
  </si>
  <si>
    <t>Noncash investing/financing activities:</t>
  </si>
  <si>
    <t>Net increase in cash</t>
  </si>
  <si>
    <t>-----------------</t>
  </si>
  <si>
    <t>Noncash investing/financing activities</t>
  </si>
  <si>
    <t>December 31, 20X2 and 20X1</t>
  </si>
  <si>
    <t>20X2</t>
  </si>
  <si>
    <t>20X1</t>
  </si>
  <si>
    <t>URTunes</t>
  </si>
  <si>
    <t>For the Year Ending December 31, 20X2</t>
  </si>
  <si>
    <t>Using the information provided prepare the statement of cash flows under the direct method</t>
  </si>
  <si>
    <t>Statement of Cash Flows (Direct Method)</t>
  </si>
  <si>
    <t>Statement of Cash Flows (Indirect Method)</t>
  </si>
  <si>
    <t>Cash received from customers</t>
  </si>
  <si>
    <t>Less cash paid for:</t>
  </si>
  <si>
    <t>Other operating expenses</t>
  </si>
  <si>
    <t>Income taxes</t>
  </si>
  <si>
    <t>Merchandise inventory</t>
  </si>
  <si>
    <t>Sale of land</t>
  </si>
  <si>
    <t>Purchase of equipment</t>
  </si>
  <si>
    <t>Dividends on common</t>
  </si>
  <si>
    <t>Repayment of long-term loans</t>
  </si>
  <si>
    <t>Net Cash (used)/provided in financing activities</t>
  </si>
  <si>
    <t>Net cash (used)/provided by in investing activities</t>
  </si>
  <si>
    <t>Net cash (used)/provided by operating activities</t>
  </si>
  <si>
    <t>Biggest is 54</t>
  </si>
  <si>
    <t>Wages Payable</t>
  </si>
  <si>
    <t>Net Income</t>
  </si>
  <si>
    <t>Gain on sale of land</t>
  </si>
  <si>
    <t>Cash balance at January 1, 20X2</t>
  </si>
  <si>
    <t>Cash balance at December 31, 20X2</t>
  </si>
  <si>
    <t>Depreciation Expense</t>
  </si>
  <si>
    <t>Gain on Sale of Land</t>
  </si>
  <si>
    <t>Increase in Accounts Receivable</t>
  </si>
  <si>
    <t>Decrease in Wages Payable</t>
  </si>
  <si>
    <t>Cash flows from operating activities</t>
  </si>
  <si>
    <t xml:space="preserve">Sale of Land </t>
  </si>
  <si>
    <t>Purchase of Equipment</t>
  </si>
  <si>
    <t>Cash flows from investing activities</t>
  </si>
  <si>
    <t>Cash flows from financing activities</t>
  </si>
  <si>
    <t>Increase in Cash</t>
  </si>
  <si>
    <t>Preferred Stock</t>
  </si>
  <si>
    <t>Proceeds from Issuing Stock</t>
  </si>
  <si>
    <t>Preferred Stock issued for building</t>
  </si>
  <si>
    <t>Decrease in Inventory</t>
  </si>
  <si>
    <t>Increase in Accounts Payable</t>
  </si>
  <si>
    <t>Issue Preferred Stock for Building</t>
  </si>
  <si>
    <t>Assuming the same facts as above, use the worksheet to prepare the statement of cash flows under the indirect method as a check for the statement of cash flows prepared in part A.</t>
  </si>
  <si>
    <t>Additional Facts</t>
  </si>
  <si>
    <t>The accounts payable balance relates to inventory</t>
  </si>
  <si>
    <t>Dividends declared and paid during the year were $50,000</t>
  </si>
  <si>
    <t>Conditional Vlook</t>
  </si>
  <si>
    <t xml:space="preserve"> began a music accessories company named URTunes.  As the corporate controller you have the responsibility of preparing the statement of cash flows for the current year ended December 31, 20X2.  Your staff accountants have presented you with the following balance sheet and income statement to be used in preparing the statement of cash flows.</t>
  </si>
  <si>
    <t>Land was sold for $750,000 during the year</t>
  </si>
  <si>
    <t>Preferred stock issued during the year was for the new building</t>
  </si>
  <si>
    <t>Proceeds from issuing common stock</t>
  </si>
  <si>
    <t>Repayment of long-term note payable</t>
  </si>
  <si>
    <t>Applying what you have learned in chapter 16, select the correct answer for each red cell below.  Once the correct answer is selected the cell will turn green.  Round all answers to the nearest whole dollar unless otherwise specified.  When selecting your answers be sure that each line is only used once in the statement of cash flows (i.e. do not select "cash received from customers" twice in the same cash flow statement).</t>
  </si>
  <si>
    <t>Salaries Payable</t>
  </si>
  <si>
    <t>Paid-in capital in excess of par - Common</t>
  </si>
  <si>
    <t>Decrease in Salaries Payable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</si>
</sst>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_(* #,##0_);_(* \(#,##0\);_(* &quot;-&quot;??_);_(@_)"/>
    <numFmt numFmtId="166" formatCode="_(&quot;$&quot;* #,##0.0_);_(&quot;$&quot;* \(#,##0.0\);_(&quot;$&quot;* &quot;-&quot;?_);_(@_)"/>
    <numFmt numFmtId="167" formatCode="_(&quot;$&quot;* #,##0_);_(&quot;$&quot;* \(#,##0\);_(&quot;$&quot;* &quot;-&quot;??_);_(@_)"/>
  </numFmts>
  <fonts count="21">
    <font>
      <sz val="10"/>
      <name val="Arial"/>
    </font>
    <font>
      <sz val="10"/>
      <name val="Arial"/>
      <family val="2"/>
    </font>
    <font>
      <sz val="10"/>
      <name val="Myriad Web Pro"/>
    </font>
    <font>
      <b/>
      <sz val="10"/>
      <color indexed="9"/>
      <name val="Myriad Web Pro"/>
    </font>
    <font>
      <sz val="10"/>
      <color indexed="16"/>
      <name val="Myriad Web Pro"/>
    </font>
    <font>
      <sz val="10"/>
      <color indexed="16"/>
      <name val="Myriad Pro"/>
    </font>
    <font>
      <sz val="10"/>
      <name val="Myriad Pro"/>
    </font>
    <font>
      <i/>
      <sz val="10"/>
      <name val="Myriad Web Pro"/>
    </font>
    <font>
      <sz val="12"/>
      <color indexed="12"/>
      <name val="Arial"/>
      <family val="2"/>
    </font>
    <font>
      <sz val="12"/>
      <name val="Myriad Pro"/>
    </font>
    <font>
      <sz val="12"/>
      <color indexed="16"/>
      <name val="Myriad Pro"/>
    </font>
    <font>
      <u/>
      <sz val="10"/>
      <color theme="10"/>
      <name val="Arial"/>
      <family val="2"/>
    </font>
    <font>
      <u/>
      <sz val="10"/>
      <color theme="11"/>
      <name val="Arial"/>
      <family val="2"/>
    </font>
    <font>
      <b/>
      <sz val="10"/>
      <name val="Myriad Web Pro"/>
    </font>
    <font>
      <b/>
      <sz val="10"/>
      <name val="Arial"/>
      <family val="2"/>
    </font>
    <font>
      <u val="singleAccounting"/>
      <sz val="10"/>
      <name val="Myriad Web Pro"/>
    </font>
    <font>
      <u val="doubleAccounting"/>
      <sz val="10"/>
      <name val="Myriad Web Pro"/>
    </font>
    <font>
      <b/>
      <sz val="10"/>
      <color theme="0"/>
      <name val="Myriad Web Pro"/>
    </font>
    <font>
      <sz val="10"/>
      <name val="Arial"/>
      <family val="2"/>
    </font>
    <font>
      <sz val="10"/>
      <color rgb="FF660066"/>
      <name val="Arial"/>
      <family val="2"/>
    </font>
    <font>
      <sz val="10"/>
      <name val="Arial"/>
      <family val="2"/>
    </font>
  </fonts>
  <fills count="16">
    <fill>
      <patternFill patternType="none"/>
    </fill>
    <fill>
      <patternFill patternType="gray125"/>
    </fill>
    <fill>
      <patternFill patternType="solid">
        <fgColor theme="0"/>
        <bgColor indexed="64"/>
      </patternFill>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3"/>
        <bgColor indexed="64"/>
      </patternFill>
    </fill>
    <fill>
      <patternFill patternType="solid">
        <fgColor theme="3" tint="0.79998168889431442"/>
        <bgColor indexed="64"/>
      </patternFill>
    </fill>
    <fill>
      <patternFill patternType="solid">
        <fgColor rgb="FFFFFF00"/>
        <bgColor indexed="64"/>
      </patternFill>
    </fill>
    <fill>
      <patternFill patternType="solid">
        <fgColor rgb="FF00B050"/>
        <bgColor indexed="64"/>
      </patternFill>
    </fill>
  </fills>
  <borders count="21">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10"/>
      </left>
      <right style="thin">
        <color indexed="10"/>
      </right>
      <top style="thin">
        <color indexed="10"/>
      </top>
      <bottom style="thin">
        <color indexed="10"/>
      </bottom>
      <diagonal/>
    </border>
    <border>
      <left style="hair">
        <color auto="1"/>
      </left>
      <right style="hair">
        <color auto="1"/>
      </right>
      <top style="hair">
        <color auto="1"/>
      </top>
      <bottom style="hair">
        <color auto="1"/>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style="thin">
        <color auto="1"/>
      </top>
      <bottom/>
      <diagonal/>
    </border>
    <border>
      <left/>
      <right style="thin">
        <color auto="1"/>
      </right>
      <top/>
      <bottom/>
      <diagonal/>
    </border>
    <border>
      <left/>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ouble">
        <color indexed="64"/>
      </bottom>
      <diagonal/>
    </border>
  </borders>
  <cellStyleXfs count="61">
    <xf numFmtId="0" fontId="0" fillId="0" borderId="0"/>
    <xf numFmtId="0" fontId="2" fillId="3" borderId="0" applyNumberFormat="0" applyBorder="0" applyAlignment="0"/>
    <xf numFmtId="0" fontId="2" fillId="4" borderId="0"/>
    <xf numFmtId="0" fontId="3" fillId="4" borderId="0">
      <alignment horizontal="center" vertical="center"/>
    </xf>
    <xf numFmtId="3" fontId="2" fillId="5" borderId="2">
      <alignment horizontal="right" vertical="center" wrapText="1"/>
    </xf>
    <xf numFmtId="0" fontId="4" fillId="5" borderId="3">
      <alignment horizontal="left" vertical="center" wrapText="1"/>
    </xf>
    <xf numFmtId="0" fontId="5" fillId="5" borderId="0">
      <alignment horizontal="left" vertical="center" wrapText="1" indent="1"/>
    </xf>
    <xf numFmtId="3" fontId="6" fillId="5" borderId="4" applyNumberFormat="0" applyFont="0" applyAlignment="0">
      <alignment horizontal="center" vertical="center" wrapText="1"/>
    </xf>
    <xf numFmtId="16" fontId="2" fillId="5" borderId="0">
      <alignment horizontal="center" vertical="center" wrapText="1"/>
    </xf>
    <xf numFmtId="0" fontId="7" fillId="5" borderId="5">
      <alignment horizontal="justify" vertical="center" wrapText="1"/>
    </xf>
    <xf numFmtId="0" fontId="8" fillId="6" borderId="0" applyFont="0" applyAlignment="0">
      <alignment horizontal="center" vertical="center" wrapText="1"/>
    </xf>
    <xf numFmtId="0" fontId="3" fillId="6" borderId="4" applyAlignment="0">
      <alignment horizontal="center" vertical="center" wrapText="1"/>
    </xf>
    <xf numFmtId="164" fontId="9" fillId="7" borderId="6" applyNumberFormat="0" applyFont="0" applyFill="0" applyAlignment="0">
      <alignment horizontal="left" vertical="center" wrapText="1"/>
    </xf>
    <xf numFmtId="164" fontId="2" fillId="0" borderId="6" applyNumberFormat="0" applyFont="0" applyFill="0" applyAlignment="0">
      <alignment horizontal="center" vertical="center" wrapText="1"/>
    </xf>
    <xf numFmtId="164" fontId="2" fillId="8" borderId="7" applyNumberFormat="0" applyBorder="0" applyAlignment="0">
      <alignment horizontal="left" vertical="center" wrapText="1"/>
    </xf>
    <xf numFmtId="0" fontId="3" fillId="9" borderId="8" applyAlignment="0">
      <alignment vertical="center"/>
    </xf>
    <xf numFmtId="0" fontId="1" fillId="9" borderId="0">
      <alignment vertical="center"/>
    </xf>
    <xf numFmtId="164" fontId="2" fillId="7" borderId="9" applyNumberFormat="0" applyBorder="0" applyAlignment="0">
      <alignment horizontal="left" vertical="center" wrapText="1"/>
    </xf>
    <xf numFmtId="0" fontId="2" fillId="5" borderId="0" applyFill="0">
      <alignment horizontal="justify" vertical="top" wrapText="1"/>
    </xf>
    <xf numFmtId="0" fontId="10" fillId="0" borderId="0">
      <alignment horizontal="left" vertical="center" wrapText="1"/>
    </xf>
    <xf numFmtId="0" fontId="9" fillId="0" borderId="0">
      <alignment horizontal="left" vertical="center" wrapText="1"/>
    </xf>
    <xf numFmtId="0" fontId="2" fillId="10" borderId="0" applyNumberFormat="0" applyAlignment="0">
      <alignment vertical="center"/>
    </xf>
    <xf numFmtId="0" fontId="3" fillId="11" borderId="0" applyNumberFormat="0" applyAlignment="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18"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4" fontId="20" fillId="0" borderId="0" applyFont="0" applyFill="0" applyBorder="0" applyAlignment="0" applyProtection="0"/>
  </cellStyleXfs>
  <cellXfs count="166">
    <xf numFmtId="0" fontId="0" fillId="0" borderId="0" xfId="0"/>
    <xf numFmtId="0" fontId="2" fillId="2" borderId="0" xfId="0" applyFont="1" applyFill="1" applyAlignment="1" applyProtection="1">
      <alignment horizontal="left" vertical="center"/>
    </xf>
    <xf numFmtId="0" fontId="2" fillId="2" borderId="0" xfId="0" applyFont="1" applyFill="1" applyAlignment="1" applyProtection="1">
      <alignment horizontal="center" vertical="center"/>
      <protection locked="0"/>
    </xf>
    <xf numFmtId="0" fontId="2" fillId="2" borderId="0" xfId="0" applyFont="1" applyFill="1" applyProtection="1"/>
    <xf numFmtId="14" fontId="2" fillId="2" borderId="0" xfId="0" applyNumberFormat="1" applyFont="1" applyFill="1" applyAlignment="1" applyProtection="1">
      <alignment horizontal="center" vertical="center"/>
      <protection locked="0"/>
    </xf>
    <xf numFmtId="1" fontId="2" fillId="2" borderId="1" xfId="0" applyNumberFormat="1" applyFont="1" applyFill="1" applyBorder="1" applyProtection="1"/>
    <xf numFmtId="1" fontId="2" fillId="14" borderId="1" xfId="0" applyNumberFormat="1" applyFont="1" applyFill="1" applyBorder="1" applyProtection="1"/>
    <xf numFmtId="165" fontId="2" fillId="14" borderId="1" xfId="37" applyNumberFormat="1" applyFont="1" applyFill="1" applyBorder="1" applyProtection="1"/>
    <xf numFmtId="0" fontId="0" fillId="2" borderId="0" xfId="0" applyFill="1" applyAlignment="1" applyProtection="1">
      <alignment vertical="center"/>
    </xf>
    <xf numFmtId="0" fontId="0" fillId="2" borderId="0" xfId="0" applyFill="1" applyAlignment="1" applyProtection="1">
      <alignment horizontal="center" wrapText="1"/>
    </xf>
    <xf numFmtId="0" fontId="0" fillId="2" borderId="0" xfId="0" applyFill="1" applyProtection="1"/>
    <xf numFmtId="0" fontId="0" fillId="2" borderId="0" xfId="0" applyFill="1" applyAlignment="1" applyProtection="1">
      <alignment horizontal="center" vertical="center" wrapText="1"/>
    </xf>
    <xf numFmtId="0" fontId="1" fillId="2" borderId="0" xfId="0" applyFont="1" applyFill="1" applyProtection="1"/>
    <xf numFmtId="0" fontId="3" fillId="12" borderId="0" xfId="3" applyFill="1" applyProtection="1">
      <alignment horizontal="center" vertical="center"/>
    </xf>
    <xf numFmtId="0" fontId="2" fillId="13" borderId="0" xfId="0" applyFont="1" applyFill="1" applyBorder="1" applyProtection="1"/>
    <xf numFmtId="41" fontId="13" fillId="13" borderId="12" xfId="0" applyNumberFormat="1" applyFont="1" applyFill="1" applyBorder="1" applyProtection="1"/>
    <xf numFmtId="41" fontId="13" fillId="13" borderId="12" xfId="0" applyNumberFormat="1" applyFont="1" applyFill="1" applyBorder="1" applyAlignment="1" applyProtection="1">
      <alignment horizontal="center"/>
    </xf>
    <xf numFmtId="0" fontId="2" fillId="13" borderId="0" xfId="0" applyFont="1" applyFill="1" applyBorder="1" applyAlignment="1" applyProtection="1">
      <alignment wrapText="1"/>
    </xf>
    <xf numFmtId="0" fontId="2" fillId="13" borderId="0" xfId="0" applyFont="1" applyFill="1" applyBorder="1" applyAlignment="1" applyProtection="1">
      <alignment vertical="center"/>
    </xf>
    <xf numFmtId="41" fontId="13" fillId="13" borderId="0" xfId="0" applyNumberFormat="1" applyFont="1" applyFill="1" applyBorder="1" applyAlignment="1" applyProtection="1">
      <alignment horizontal="left" vertical="center"/>
    </xf>
    <xf numFmtId="0" fontId="13" fillId="13" borderId="0" xfId="0" applyFont="1" applyFill="1" applyBorder="1" applyAlignment="1" applyProtection="1">
      <alignment vertical="center" wrapText="1"/>
    </xf>
    <xf numFmtId="0" fontId="2" fillId="13" borderId="0" xfId="0" applyFont="1" applyFill="1" applyBorder="1" applyAlignment="1" applyProtection="1">
      <alignment vertical="center" wrapText="1"/>
    </xf>
    <xf numFmtId="41" fontId="2" fillId="13" borderId="0" xfId="0" applyNumberFormat="1" applyFont="1" applyFill="1" applyBorder="1" applyAlignment="1" applyProtection="1">
      <alignment horizontal="left" vertical="center" indent="1"/>
    </xf>
    <xf numFmtId="41" fontId="2" fillId="13" borderId="0" xfId="0" applyNumberFormat="1" applyFont="1" applyFill="1" applyBorder="1" applyAlignment="1" applyProtection="1">
      <alignment horizontal="left" vertical="center"/>
    </xf>
    <xf numFmtId="42" fontId="2" fillId="13" borderId="0" xfId="0" applyNumberFormat="1" applyFont="1" applyFill="1" applyBorder="1" applyAlignment="1" applyProtection="1">
      <alignment vertical="center"/>
    </xf>
    <xf numFmtId="42" fontId="1" fillId="2" borderId="0" xfId="0" applyNumberFormat="1" applyFont="1" applyFill="1" applyProtection="1"/>
    <xf numFmtId="1" fontId="1" fillId="2" borderId="0" xfId="0" applyNumberFormat="1" applyFont="1" applyFill="1" applyProtection="1"/>
    <xf numFmtId="42" fontId="15" fillId="13" borderId="0" xfId="0" applyNumberFormat="1" applyFont="1" applyFill="1" applyBorder="1" applyAlignment="1" applyProtection="1">
      <alignment vertical="center"/>
    </xf>
    <xf numFmtId="0" fontId="19" fillId="2" borderId="0" xfId="0" applyFont="1" applyFill="1" applyProtection="1"/>
    <xf numFmtId="42" fontId="0" fillId="2" borderId="0" xfId="0" applyNumberFormat="1" applyFill="1" applyProtection="1"/>
    <xf numFmtId="41" fontId="15" fillId="13" borderId="0" xfId="0" applyNumberFormat="1" applyFont="1" applyFill="1" applyBorder="1" applyAlignment="1" applyProtection="1">
      <alignment vertical="center"/>
    </xf>
    <xf numFmtId="41" fontId="2" fillId="13" borderId="0" xfId="0" applyNumberFormat="1" applyFont="1" applyFill="1" applyBorder="1" applyAlignment="1" applyProtection="1">
      <alignment horizontal="left" vertical="center" wrapText="1" indent="1"/>
    </xf>
    <xf numFmtId="41" fontId="2" fillId="13" borderId="0" xfId="0" applyNumberFormat="1" applyFont="1" applyFill="1" applyBorder="1" applyAlignment="1" applyProtection="1">
      <alignment horizontal="left" vertical="center" wrapText="1"/>
    </xf>
    <xf numFmtId="41" fontId="2" fillId="13" borderId="0" xfId="0" applyNumberFormat="1" applyFont="1" applyFill="1" applyBorder="1" applyAlignment="1" applyProtection="1">
      <alignment vertical="center"/>
    </xf>
    <xf numFmtId="41" fontId="13" fillId="13" borderId="0" xfId="0" applyNumberFormat="1" applyFont="1" applyFill="1" applyBorder="1" applyAlignment="1" applyProtection="1">
      <alignment vertical="center"/>
    </xf>
    <xf numFmtId="42" fontId="16" fillId="13" borderId="0" xfId="0" applyNumberFormat="1" applyFont="1" applyFill="1" applyBorder="1" applyAlignment="1" applyProtection="1">
      <alignment vertical="center"/>
    </xf>
    <xf numFmtId="41" fontId="13" fillId="13" borderId="12" xfId="0" applyNumberFormat="1" applyFont="1" applyFill="1" applyBorder="1" applyAlignment="1" applyProtection="1">
      <alignment vertical="center"/>
    </xf>
    <xf numFmtId="0" fontId="2" fillId="13" borderId="12" xfId="0" applyFont="1" applyFill="1" applyBorder="1" applyAlignment="1" applyProtection="1">
      <alignment vertical="center" wrapText="1"/>
    </xf>
    <xf numFmtId="0" fontId="2" fillId="13" borderId="0" xfId="0" applyFont="1" applyFill="1" applyBorder="1" applyAlignment="1" applyProtection="1">
      <alignment horizontal="center" vertical="center" wrapText="1"/>
    </xf>
    <xf numFmtId="0" fontId="2" fillId="13" borderId="12" xfId="0" applyFont="1" applyFill="1" applyBorder="1" applyAlignment="1" applyProtection="1">
      <alignment horizontal="center" vertical="center" wrapText="1"/>
    </xf>
    <xf numFmtId="0" fontId="2" fillId="12" borderId="0" xfId="2" applyFill="1" applyProtection="1"/>
    <xf numFmtId="0" fontId="2" fillId="13" borderId="0" xfId="0" applyFont="1" applyFill="1" applyBorder="1" applyAlignment="1" applyProtection="1"/>
    <xf numFmtId="0" fontId="2" fillId="13" borderId="0" xfId="0" applyFont="1" applyFill="1" applyBorder="1" applyAlignment="1" applyProtection="1">
      <alignment horizontal="center"/>
    </xf>
    <xf numFmtId="41" fontId="13" fillId="13" borderId="0" xfId="0" applyNumberFormat="1" applyFont="1" applyFill="1" applyBorder="1" applyAlignment="1" applyProtection="1">
      <alignment horizontal="left" vertical="center" indent="1"/>
    </xf>
    <xf numFmtId="0" fontId="0" fillId="13" borderId="0" xfId="0" applyFill="1" applyProtection="1"/>
    <xf numFmtId="41" fontId="2" fillId="13" borderId="0" xfId="0" applyNumberFormat="1" applyFont="1" applyFill="1" applyBorder="1" applyAlignment="1" applyProtection="1">
      <alignment horizontal="left" vertical="center" indent="2"/>
    </xf>
    <xf numFmtId="166" fontId="0" fillId="2" borderId="0" xfId="0" applyNumberFormat="1" applyFill="1" applyProtection="1"/>
    <xf numFmtId="41" fontId="2" fillId="13" borderId="0" xfId="0" applyNumberFormat="1" applyFont="1" applyFill="1" applyBorder="1" applyAlignment="1" applyProtection="1">
      <alignment horizontal="right" vertical="center" wrapText="1"/>
    </xf>
    <xf numFmtId="0" fontId="14" fillId="2" borderId="0" xfId="0" applyFont="1" applyFill="1" applyAlignment="1" applyProtection="1">
      <alignment vertical="center"/>
    </xf>
    <xf numFmtId="0" fontId="14" fillId="2" borderId="0" xfId="0" applyFont="1" applyFill="1" applyAlignment="1" applyProtection="1">
      <alignment horizontal="center"/>
    </xf>
    <xf numFmtId="0" fontId="0" fillId="12" borderId="0" xfId="0" applyFill="1" applyProtection="1"/>
    <xf numFmtId="0" fontId="2" fillId="13" borderId="0" xfId="0" applyFont="1" applyFill="1" applyBorder="1" applyAlignment="1" applyProtection="1">
      <alignment horizontal="left" vertical="center" wrapText="1"/>
    </xf>
    <xf numFmtId="41" fontId="13" fillId="13" borderId="0" xfId="0" applyNumberFormat="1" applyFont="1" applyFill="1" applyBorder="1" applyAlignment="1" applyProtection="1">
      <alignment horizontal="left"/>
    </xf>
    <xf numFmtId="0" fontId="2" fillId="13" borderId="0" xfId="0" applyFont="1" applyFill="1" applyBorder="1" applyAlignment="1" applyProtection="1">
      <alignment horizontal="right" vertical="center" wrapText="1"/>
    </xf>
    <xf numFmtId="41" fontId="0" fillId="2" borderId="0" xfId="0" applyNumberFormat="1" applyFill="1" applyProtection="1"/>
    <xf numFmtId="167" fontId="0" fillId="2" borderId="0" xfId="60" applyNumberFormat="1" applyFont="1" applyFill="1" applyProtection="1"/>
    <xf numFmtId="42" fontId="2" fillId="2" borderId="0" xfId="0" applyNumberFormat="1" applyFont="1" applyFill="1" applyBorder="1" applyAlignment="1" applyProtection="1">
      <alignment horizontal="center" vertical="center"/>
    </xf>
    <xf numFmtId="42" fontId="2" fillId="13" borderId="0" xfId="0" applyNumberFormat="1" applyFont="1" applyFill="1" applyBorder="1" applyAlignment="1" applyProtection="1">
      <alignment horizontal="center" vertical="center"/>
    </xf>
    <xf numFmtId="0" fontId="1" fillId="2" borderId="0" xfId="0" quotePrefix="1" applyFont="1" applyFill="1" applyProtection="1"/>
    <xf numFmtId="41" fontId="2" fillId="13" borderId="0" xfId="0" applyNumberFormat="1" applyFont="1" applyFill="1" applyBorder="1" applyAlignment="1" applyProtection="1">
      <alignment horizontal="left" vertical="center" indent="3"/>
    </xf>
    <xf numFmtId="41" fontId="15" fillId="13" borderId="0" xfId="0" applyNumberFormat="1" applyFont="1" applyFill="1" applyBorder="1" applyAlignment="1" applyProtection="1">
      <alignment horizontal="center" vertical="center"/>
    </xf>
    <xf numFmtId="41" fontId="15"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wrapText="1"/>
    </xf>
    <xf numFmtId="167" fontId="1" fillId="2" borderId="0" xfId="60" applyNumberFormat="1" applyFont="1" applyFill="1" applyProtection="1"/>
    <xf numFmtId="41" fontId="2" fillId="13" borderId="0" xfId="0" applyNumberFormat="1" applyFont="1" applyFill="1" applyBorder="1" applyAlignment="1" applyProtection="1">
      <alignment horizontal="center" vertical="center"/>
    </xf>
    <xf numFmtId="41" fontId="2" fillId="2" borderId="0" xfId="0" applyNumberFormat="1" applyFont="1" applyFill="1" applyBorder="1" applyAlignment="1" applyProtection="1">
      <alignment horizontal="center" vertical="center"/>
    </xf>
    <xf numFmtId="165" fontId="2" fillId="13" borderId="0" xfId="37" applyNumberFormat="1" applyFont="1" applyFill="1" applyBorder="1" applyAlignment="1" applyProtection="1">
      <alignment vertical="center"/>
    </xf>
    <xf numFmtId="165" fontId="0" fillId="2" borderId="0" xfId="0" applyNumberFormat="1" applyFill="1" applyProtection="1"/>
    <xf numFmtId="42" fontId="16" fillId="2" borderId="0" xfId="0" applyNumberFormat="1" applyFont="1" applyFill="1" applyBorder="1" applyAlignment="1" applyProtection="1">
      <alignment horizontal="center" vertical="center"/>
    </xf>
    <xf numFmtId="42" fontId="16" fillId="13" borderId="0" xfId="0" applyNumberFormat="1" applyFont="1" applyFill="1" applyBorder="1" applyAlignment="1" applyProtection="1">
      <alignment horizontal="center" vertical="center"/>
    </xf>
    <xf numFmtId="41" fontId="13" fillId="13" borderId="0" xfId="0" quotePrefix="1" applyNumberFormat="1" applyFont="1" applyFill="1" applyBorder="1" applyAlignment="1" applyProtection="1">
      <alignment horizontal="left" vertical="center"/>
    </xf>
    <xf numFmtId="0" fontId="1" fillId="13" borderId="0" xfId="0" applyFont="1" applyFill="1" applyAlignment="1" applyProtection="1">
      <alignment vertical="center"/>
    </xf>
    <xf numFmtId="41" fontId="2" fillId="13" borderId="0" xfId="0" applyNumberFormat="1" applyFont="1" applyFill="1" applyBorder="1" applyAlignment="1" applyProtection="1">
      <alignment horizontal="left" indent="1"/>
    </xf>
    <xf numFmtId="41" fontId="15" fillId="13" borderId="0" xfId="0" applyNumberFormat="1" applyFont="1" applyFill="1" applyBorder="1" applyProtection="1"/>
    <xf numFmtId="42" fontId="2" fillId="13" borderId="0" xfId="0" applyNumberFormat="1" applyFont="1" applyFill="1" applyBorder="1" applyProtection="1"/>
    <xf numFmtId="0" fontId="14" fillId="2" borderId="0" xfId="0" applyFont="1" applyFill="1" applyAlignment="1" applyProtection="1">
      <alignment horizontal="center" wrapText="1"/>
    </xf>
    <xf numFmtId="0" fontId="0" fillId="12" borderId="15" xfId="0" applyFill="1" applyBorder="1" applyProtection="1"/>
    <xf numFmtId="0" fontId="0" fillId="12" borderId="10" xfId="0" applyFill="1" applyBorder="1" applyProtection="1"/>
    <xf numFmtId="0" fontId="0" fillId="12" borderId="16" xfId="0" applyFill="1" applyBorder="1" applyProtection="1"/>
    <xf numFmtId="0" fontId="0" fillId="2" borderId="0" xfId="0" applyFill="1" applyBorder="1" applyProtection="1"/>
    <xf numFmtId="0" fontId="3" fillId="2" borderId="0" xfId="0" applyFont="1" applyFill="1" applyBorder="1" applyAlignment="1" applyProtection="1">
      <alignment horizontal="center" vertical="center"/>
    </xf>
    <xf numFmtId="0" fontId="2" fillId="2" borderId="14" xfId="0" applyFont="1" applyFill="1" applyBorder="1" applyProtection="1"/>
    <xf numFmtId="0" fontId="2" fillId="2" borderId="11" xfId="0" applyFont="1" applyFill="1" applyBorder="1" applyProtection="1"/>
    <xf numFmtId="0" fontId="2" fillId="2" borderId="13"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0"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11" xfId="0" applyFont="1" applyFill="1" applyBorder="1" applyAlignment="1" applyProtection="1">
      <alignment vertical="center"/>
    </xf>
    <xf numFmtId="0" fontId="2" fillId="2" borderId="0" xfId="0" applyFont="1" applyFill="1" applyBorder="1" applyAlignment="1" applyProtection="1">
      <alignment horizontal="right" vertical="center"/>
    </xf>
    <xf numFmtId="0" fontId="2" fillId="2" borderId="0" xfId="0" applyFont="1" applyFill="1" applyBorder="1" applyAlignment="1" applyProtection="1">
      <alignment horizontal="left" vertical="center" indent="1"/>
    </xf>
    <xf numFmtId="42" fontId="2" fillId="2" borderId="14" xfId="0" applyNumberFormat="1" applyFont="1" applyFill="1" applyBorder="1" applyAlignment="1" applyProtection="1">
      <alignment vertical="center"/>
    </xf>
    <xf numFmtId="42" fontId="2" fillId="2" borderId="11" xfId="0" applyNumberFormat="1" applyFont="1" applyFill="1" applyBorder="1" applyAlignment="1" applyProtection="1">
      <alignment vertical="center"/>
    </xf>
    <xf numFmtId="42" fontId="2" fillId="2" borderId="0" xfId="0" applyNumberFormat="1" applyFont="1" applyFill="1" applyBorder="1" applyAlignment="1" applyProtection="1">
      <alignment vertical="center"/>
    </xf>
    <xf numFmtId="41" fontId="2" fillId="2" borderId="14" xfId="0" applyNumberFormat="1" applyFont="1" applyFill="1" applyBorder="1" applyAlignment="1" applyProtection="1">
      <alignment vertical="center"/>
    </xf>
    <xf numFmtId="41" fontId="2" fillId="2" borderId="13" xfId="0" applyNumberFormat="1" applyFont="1" applyFill="1" applyBorder="1" applyAlignment="1" applyProtection="1">
      <alignment vertical="center"/>
    </xf>
    <xf numFmtId="41" fontId="2" fillId="2" borderId="0" xfId="0" applyNumberFormat="1" applyFont="1" applyFill="1" applyBorder="1" applyAlignment="1" applyProtection="1">
      <alignment vertical="center"/>
    </xf>
    <xf numFmtId="41" fontId="15" fillId="2" borderId="14" xfId="0" applyNumberFormat="1" applyFont="1" applyFill="1" applyBorder="1" applyAlignment="1" applyProtection="1">
      <alignment vertical="center"/>
    </xf>
    <xf numFmtId="41" fontId="15" fillId="2" borderId="13" xfId="0" applyNumberFormat="1" applyFont="1" applyFill="1" applyBorder="1" applyAlignment="1" applyProtection="1">
      <alignment vertical="center"/>
    </xf>
    <xf numFmtId="41" fontId="15" fillId="2" borderId="0" xfId="0" applyNumberFormat="1" applyFont="1" applyFill="1" applyBorder="1" applyAlignment="1" applyProtection="1">
      <alignment vertical="center"/>
    </xf>
    <xf numFmtId="42" fontId="16" fillId="2" borderId="13" xfId="0" applyNumberFormat="1" applyFont="1" applyFill="1" applyBorder="1" applyAlignment="1" applyProtection="1">
      <alignment vertical="center"/>
    </xf>
    <xf numFmtId="41" fontId="2" fillId="2" borderId="11" xfId="0" applyNumberFormat="1" applyFont="1" applyFill="1" applyBorder="1" applyAlignment="1" applyProtection="1">
      <alignment vertical="center"/>
    </xf>
    <xf numFmtId="42" fontId="16" fillId="2" borderId="11" xfId="0" applyNumberFormat="1" applyFont="1" applyFill="1" applyBorder="1" applyAlignment="1" applyProtection="1">
      <alignment vertical="center"/>
    </xf>
    <xf numFmtId="42" fontId="16" fillId="2" borderId="0" xfId="0" applyNumberFormat="1" applyFont="1" applyFill="1" applyBorder="1" applyAlignment="1" applyProtection="1">
      <alignment vertical="center"/>
    </xf>
    <xf numFmtId="42" fontId="2" fillId="2" borderId="13" xfId="0" applyNumberFormat="1" applyFont="1" applyFill="1" applyBorder="1" applyAlignment="1" applyProtection="1">
      <alignment vertical="center"/>
    </xf>
    <xf numFmtId="41" fontId="15" fillId="2" borderId="11" xfId="0" applyNumberFormat="1" applyFont="1" applyFill="1" applyBorder="1" applyAlignment="1" applyProtection="1">
      <alignment vertical="center"/>
    </xf>
    <xf numFmtId="0" fontId="17" fillId="2" borderId="0" xfId="0" applyFont="1" applyFill="1" applyBorder="1" applyAlignment="1" applyProtection="1">
      <alignment horizontal="center"/>
    </xf>
    <xf numFmtId="0" fontId="17" fillId="12" borderId="14" xfId="0" applyFont="1" applyFill="1" applyBorder="1" applyAlignment="1" applyProtection="1">
      <alignment horizontal="center"/>
    </xf>
    <xf numFmtId="0" fontId="17" fillId="12" borderId="0" xfId="0" applyFont="1" applyFill="1" applyBorder="1" applyAlignment="1" applyProtection="1">
      <alignment horizontal="center"/>
    </xf>
    <xf numFmtId="0" fontId="17" fillId="12" borderId="11" xfId="0" applyFont="1" applyFill="1" applyBorder="1" applyAlignment="1" applyProtection="1">
      <alignment horizontal="center"/>
    </xf>
    <xf numFmtId="0" fontId="2" fillId="13" borderId="14" xfId="0" applyFont="1" applyFill="1" applyBorder="1" applyProtection="1"/>
    <xf numFmtId="0" fontId="2" fillId="13" borderId="13" xfId="0" applyFont="1" applyFill="1" applyBorder="1" applyAlignment="1" applyProtection="1">
      <alignment vertical="center"/>
    </xf>
    <xf numFmtId="0" fontId="2" fillId="13" borderId="11" xfId="0" applyFont="1" applyFill="1" applyBorder="1" applyAlignment="1" applyProtection="1">
      <alignment vertical="center"/>
    </xf>
    <xf numFmtId="0" fontId="2" fillId="13" borderId="0" xfId="0" applyFont="1" applyFill="1" applyBorder="1" applyAlignment="1" applyProtection="1">
      <alignment horizontal="right" vertical="center"/>
    </xf>
    <xf numFmtId="41" fontId="2" fillId="13" borderId="11" xfId="0" applyNumberFormat="1" applyFont="1" applyFill="1" applyBorder="1" applyAlignment="1" applyProtection="1">
      <alignment vertical="center"/>
    </xf>
    <xf numFmtId="0" fontId="2" fillId="13" borderId="0" xfId="0" applyFont="1" applyFill="1" applyBorder="1" applyAlignment="1" applyProtection="1">
      <alignment horizontal="left" vertical="center" indent="1"/>
    </xf>
    <xf numFmtId="0" fontId="2" fillId="13" borderId="0" xfId="0" applyFont="1" applyFill="1" applyBorder="1" applyAlignment="1" applyProtection="1">
      <alignment horizontal="left" vertical="center" indent="2"/>
    </xf>
    <xf numFmtId="0" fontId="2" fillId="13" borderId="19" xfId="0" applyFont="1" applyFill="1" applyBorder="1" applyAlignment="1" applyProtection="1">
      <alignment vertical="center"/>
    </xf>
    <xf numFmtId="41" fontId="2" fillId="13" borderId="14" xfId="0" applyNumberFormat="1" applyFont="1" applyFill="1" applyBorder="1" applyAlignment="1" applyProtection="1">
      <alignment horizontal="center" vertical="center"/>
    </xf>
    <xf numFmtId="41" fontId="2" fillId="13" borderId="11" xfId="0" applyNumberFormat="1" applyFont="1" applyFill="1" applyBorder="1" applyAlignment="1" applyProtection="1">
      <alignment horizontal="center" vertical="center"/>
    </xf>
    <xf numFmtId="41" fontId="2" fillId="13" borderId="20" xfId="0" applyNumberFormat="1" applyFont="1" applyFill="1" applyBorder="1" applyAlignment="1" applyProtection="1">
      <alignment vertical="center"/>
    </xf>
    <xf numFmtId="0" fontId="2" fillId="13" borderId="0" xfId="0" applyFont="1" applyFill="1" applyBorder="1" applyAlignment="1" applyProtection="1">
      <alignment horizontal="left" vertical="center"/>
    </xf>
    <xf numFmtId="0" fontId="2" fillId="12" borderId="17" xfId="0" applyFont="1" applyFill="1" applyBorder="1" applyProtection="1"/>
    <xf numFmtId="0" fontId="2" fillId="12" borderId="12" xfId="0" applyFont="1" applyFill="1" applyBorder="1" applyProtection="1"/>
    <xf numFmtId="0" fontId="2" fillId="12" borderId="18" xfId="0" applyFont="1" applyFill="1" applyBorder="1" applyProtection="1"/>
    <xf numFmtId="0" fontId="2" fillId="12" borderId="12" xfId="0" applyFont="1" applyFill="1" applyBorder="1" applyAlignment="1" applyProtection="1">
      <alignment horizontal="right"/>
    </xf>
    <xf numFmtId="0" fontId="2" fillId="12" borderId="19"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right"/>
    </xf>
    <xf numFmtId="42" fontId="2" fillId="15" borderId="0" xfId="0" applyNumberFormat="1" applyFont="1" applyFill="1" applyBorder="1" applyAlignment="1" applyProtection="1">
      <alignment horizontal="center" vertical="center"/>
      <protection locked="0"/>
    </xf>
    <xf numFmtId="42" fontId="2" fillId="15" borderId="0" xfId="0" applyNumberFormat="1" applyFont="1" applyFill="1" applyBorder="1" applyAlignment="1" applyProtection="1">
      <alignment vertical="center"/>
      <protection locked="0"/>
    </xf>
    <xf numFmtId="41" fontId="2" fillId="15" borderId="0" xfId="0" applyNumberFormat="1" applyFont="1" applyFill="1" applyBorder="1" applyAlignment="1" applyProtection="1">
      <alignment horizontal="left" vertical="center" indent="3"/>
      <protection locked="0"/>
    </xf>
    <xf numFmtId="41" fontId="2" fillId="15" borderId="0" xfId="0" applyNumberFormat="1" applyFont="1" applyFill="1" applyBorder="1" applyAlignment="1" applyProtection="1">
      <alignment horizontal="left" vertical="center" indent="1"/>
      <protection locked="0"/>
    </xf>
    <xf numFmtId="41" fontId="0" fillId="2" borderId="0" xfId="0" applyNumberFormat="1" applyFill="1" applyAlignment="1" applyProtection="1">
      <alignment horizontal="left"/>
    </xf>
    <xf numFmtId="0" fontId="0" fillId="2" borderId="0" xfId="0" applyFill="1" applyAlignment="1" applyProtection="1">
      <alignment horizontal="left"/>
    </xf>
    <xf numFmtId="41" fontId="2" fillId="13" borderId="14" xfId="0" applyNumberFormat="1" applyFont="1" applyFill="1" applyBorder="1" applyAlignment="1" applyProtection="1">
      <alignment horizontal="center" vertical="center"/>
    </xf>
    <xf numFmtId="41" fontId="2" fillId="13" borderId="11" xfId="0" applyNumberFormat="1" applyFont="1" applyFill="1" applyBorder="1" applyAlignment="1" applyProtection="1">
      <alignment horizontal="center" vertical="center"/>
    </xf>
    <xf numFmtId="41" fontId="2" fillId="15" borderId="14" xfId="0" applyNumberFormat="1" applyFont="1" applyFill="1" applyBorder="1" applyAlignment="1" applyProtection="1">
      <alignment horizontal="center" vertical="center"/>
      <protection locked="0"/>
    </xf>
    <xf numFmtId="41" fontId="2" fillId="15" borderId="11" xfId="0" applyNumberFormat="1" applyFont="1" applyFill="1" applyBorder="1" applyAlignment="1" applyProtection="1">
      <alignment horizontal="center" vertical="center"/>
      <protection locked="0"/>
    </xf>
    <xf numFmtId="41" fontId="2" fillId="13" borderId="17" xfId="0" applyNumberFormat="1" applyFont="1" applyFill="1" applyBorder="1" applyAlignment="1" applyProtection="1">
      <alignment horizontal="center" vertical="center"/>
    </xf>
    <xf numFmtId="41" fontId="2" fillId="13" borderId="19" xfId="0" applyNumberFormat="1" applyFont="1" applyFill="1" applyBorder="1" applyAlignment="1" applyProtection="1">
      <alignment horizontal="center" vertical="center"/>
    </xf>
    <xf numFmtId="41" fontId="2" fillId="15" borderId="17" xfId="0" applyNumberFormat="1" applyFont="1" applyFill="1" applyBorder="1" applyAlignment="1" applyProtection="1">
      <alignment horizontal="center" vertical="center"/>
      <protection locked="0"/>
    </xf>
    <xf numFmtId="41" fontId="2" fillId="15" borderId="19" xfId="0" applyNumberFormat="1" applyFont="1" applyFill="1" applyBorder="1" applyAlignment="1" applyProtection="1">
      <alignment horizontal="center" vertical="center"/>
      <protection locked="0"/>
    </xf>
    <xf numFmtId="0" fontId="2" fillId="13" borderId="14" xfId="0" applyFont="1" applyFill="1" applyBorder="1" applyAlignment="1" applyProtection="1">
      <alignment horizontal="center" vertical="center"/>
    </xf>
    <xf numFmtId="0" fontId="2" fillId="13" borderId="11" xfId="0" applyFont="1" applyFill="1" applyBorder="1" applyAlignment="1" applyProtection="1">
      <alignment horizontal="center" vertical="center"/>
    </xf>
    <xf numFmtId="165" fontId="2" fillId="15" borderId="14" xfId="37" applyNumberFormat="1" applyFont="1" applyFill="1" applyBorder="1" applyAlignment="1" applyProtection="1">
      <alignment horizontal="center" vertical="center"/>
      <protection locked="0"/>
    </xf>
    <xf numFmtId="165" fontId="2" fillId="15" borderId="11" xfId="37"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xf>
    <xf numFmtId="0" fontId="17" fillId="12" borderId="0" xfId="0" applyFont="1" applyFill="1" applyBorder="1" applyAlignment="1" applyProtection="1">
      <alignment horizontal="center"/>
    </xf>
    <xf numFmtId="0" fontId="17" fillId="12" borderId="11" xfId="0" applyFont="1" applyFill="1" applyBorder="1" applyAlignment="1" applyProtection="1">
      <alignment horizontal="center"/>
    </xf>
    <xf numFmtId="165" fontId="2" fillId="2" borderId="14" xfId="37" applyNumberFormat="1" applyFont="1" applyFill="1" applyBorder="1" applyAlignment="1" applyProtection="1">
      <alignment horizontal="center" vertical="center"/>
    </xf>
    <xf numFmtId="165" fontId="2" fillId="2" borderId="11" xfId="37" applyNumberFormat="1" applyFont="1" applyFill="1" applyBorder="1" applyAlignment="1" applyProtection="1">
      <alignment horizontal="center" vertical="center"/>
    </xf>
    <xf numFmtId="0" fontId="14" fillId="2" borderId="0" xfId="0" applyFont="1" applyFill="1" applyAlignment="1" applyProtection="1">
      <alignment horizontal="center" wrapText="1"/>
    </xf>
    <xf numFmtId="0" fontId="3" fillId="12" borderId="14" xfId="0" applyFont="1" applyFill="1" applyBorder="1" applyAlignment="1" applyProtection="1">
      <alignment horizontal="center" vertical="center" wrapText="1"/>
    </xf>
    <xf numFmtId="0" fontId="3" fillId="12" borderId="0" xfId="0" applyFont="1" applyFill="1" applyBorder="1" applyAlignment="1" applyProtection="1">
      <alignment horizontal="center" vertical="center"/>
    </xf>
    <xf numFmtId="0" fontId="3" fillId="12" borderId="11" xfId="0" applyFont="1" applyFill="1" applyBorder="1" applyAlignment="1" applyProtection="1">
      <alignment horizontal="center" vertical="center"/>
    </xf>
    <xf numFmtId="0" fontId="2" fillId="2" borderId="13" xfId="0" applyFont="1" applyFill="1" applyBorder="1" applyAlignment="1" applyProtection="1">
      <alignment horizontal="center"/>
    </xf>
    <xf numFmtId="0" fontId="2" fillId="2" borderId="13" xfId="0" applyFont="1" applyFill="1" applyBorder="1" applyAlignment="1" applyProtection="1"/>
    <xf numFmtId="0" fontId="3" fillId="12" borderId="0" xfId="3" applyFill="1" applyAlignment="1" applyProtection="1">
      <alignment horizontal="center" vertical="center"/>
    </xf>
    <xf numFmtId="0" fontId="14" fillId="2" borderId="0" xfId="0" applyFont="1" applyFill="1" applyAlignment="1" applyProtection="1">
      <alignment horizontal="center"/>
    </xf>
    <xf numFmtId="0" fontId="0" fillId="2" borderId="0" xfId="0" applyFill="1" applyAlignment="1" applyProtection="1">
      <alignment horizontal="center" wrapText="1"/>
    </xf>
    <xf numFmtId="0" fontId="0" fillId="2" borderId="0" xfId="0" applyFill="1" applyAlignment="1" applyProtection="1">
      <alignment horizontal="center" vertical="center" wrapText="1"/>
    </xf>
    <xf numFmtId="0" fontId="3" fillId="12" borderId="0" xfId="3" applyFill="1" applyProtection="1">
      <alignment horizontal="center" vertical="center"/>
    </xf>
    <xf numFmtId="0" fontId="14" fillId="2" borderId="12" xfId="0" applyFont="1" applyFill="1" applyBorder="1" applyAlignment="1" applyProtection="1">
      <alignment horizontal="center" wrapText="1"/>
    </xf>
    <xf numFmtId="41" fontId="15" fillId="13" borderId="0" xfId="0" applyNumberFormat="1" applyFont="1" applyFill="1" applyBorder="1" applyAlignment="1" applyProtection="1">
      <alignment horizontal="left" vertical="center"/>
    </xf>
    <xf numFmtId="0" fontId="14" fillId="2" borderId="0" xfId="0" applyFont="1" applyFill="1" applyAlignment="1" applyProtection="1">
      <alignment horizontal="left"/>
    </xf>
  </cellXfs>
  <cellStyles count="61">
    <cellStyle name="bsbody" xfId="1" xr:uid="{00000000-0005-0000-0000-000000000000}"/>
    <cellStyle name="bsfoot" xfId="2" xr:uid="{00000000-0005-0000-0000-000001000000}"/>
    <cellStyle name="bshead" xfId="3" xr:uid="{00000000-0005-0000-0000-000002000000}"/>
    <cellStyle name="Comma" xfId="37" builtinId="3"/>
    <cellStyle name="Currency" xfId="60" builtinId="4"/>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GenJour#" xfId="4" xr:uid="{00000000-0005-0000-0000-000017000000}"/>
    <cellStyle name="GenJour1" xfId="5" xr:uid="{00000000-0005-0000-0000-000018000000}"/>
    <cellStyle name="GenJour2" xfId="6" xr:uid="{00000000-0005-0000-0000-000019000000}"/>
    <cellStyle name="GenJourBody" xfId="7" xr:uid="{00000000-0005-0000-0000-00001A000000}"/>
    <cellStyle name="GenJourDate" xfId="8" xr:uid="{00000000-0005-0000-0000-00001B000000}"/>
    <cellStyle name="GenJourDes" xfId="9" xr:uid="{00000000-0005-0000-0000-00001C000000}"/>
    <cellStyle name="GenJourFoot" xfId="10" xr:uid="{00000000-0005-0000-0000-00001D000000}"/>
    <cellStyle name="GenJourHead" xfId="11" xr:uid="{00000000-0005-0000-0000-00001E000000}"/>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LedgBody" xfId="12" xr:uid="{00000000-0005-0000-0000-000031000000}"/>
    <cellStyle name="ledgerwkbk" xfId="13" xr:uid="{00000000-0005-0000-0000-000032000000}"/>
    <cellStyle name="LedgGreen" xfId="14" xr:uid="{00000000-0005-0000-0000-000033000000}"/>
    <cellStyle name="LedgHead" xfId="15" xr:uid="{00000000-0005-0000-0000-000034000000}"/>
    <cellStyle name="LedgSide" xfId="16" xr:uid="{00000000-0005-0000-0000-000035000000}"/>
    <cellStyle name="LedgYellow" xfId="17" xr:uid="{00000000-0005-0000-0000-000036000000}"/>
    <cellStyle name="Normal" xfId="0" builtinId="0"/>
    <cellStyle name="POA" xfId="18" xr:uid="{00000000-0005-0000-0000-000038000000}"/>
    <cellStyle name="POAanswer" xfId="19" xr:uid="{00000000-0005-0000-0000-000039000000}"/>
    <cellStyle name="POAhead" xfId="20" xr:uid="{00000000-0005-0000-0000-00003A000000}"/>
    <cellStyle name="trialbody" xfId="21" xr:uid="{00000000-0005-0000-0000-00003B000000}"/>
    <cellStyle name="trialhead" xfId="22" xr:uid="{00000000-0005-0000-0000-00003C000000}"/>
  </cellStyles>
  <dxfs count="5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zoomScale="130" zoomScaleNormal="130" zoomScalePageLayoutView="130" workbookViewId="0">
      <selection activeCell="B1" sqref="B1"/>
    </sheetView>
  </sheetViews>
  <sheetFormatPr defaultColWidth="0" defaultRowHeight="12.95" customHeight="1" zeroHeight="1"/>
  <cols>
    <col min="1" max="1" width="31" style="3" customWidth="1"/>
    <col min="2" max="2" width="26.42578125" style="3" customWidth="1"/>
    <col min="3" max="16384" width="9.140625" style="3" hidden="1"/>
  </cols>
  <sheetData>
    <row r="1" spans="1:2" ht="21.75" customHeight="1">
      <c r="A1" s="1" t="s">
        <v>0</v>
      </c>
      <c r="B1" s="2" t="s">
        <v>7</v>
      </c>
    </row>
    <row r="2" spans="1:2" ht="21.75" customHeight="1">
      <c r="A2" s="1" t="s">
        <v>1</v>
      </c>
      <c r="B2" s="2">
        <v>11111</v>
      </c>
    </row>
    <row r="3" spans="1:2" ht="21.75" customHeight="1">
      <c r="A3" s="1" t="s">
        <v>2</v>
      </c>
      <c r="B3" s="4">
        <v>43102</v>
      </c>
    </row>
    <row r="4" spans="1:2" ht="12.95" hidden="1" customHeight="1"/>
    <row r="5" spans="1:2" ht="12.95" hidden="1" customHeight="1"/>
    <row r="6" spans="1:2" ht="12.75" hidden="1">
      <c r="A6" s="1" t="s">
        <v>3</v>
      </c>
    </row>
    <row r="7" spans="1:2" ht="12.95" hidden="1" customHeight="1"/>
    <row r="8" spans="1:2" ht="12.75" hidden="1">
      <c r="B8" s="3">
        <f>B2/10000</f>
        <v>1.1111</v>
      </c>
    </row>
    <row r="9" spans="1:2" ht="12.75" hidden="1">
      <c r="B9" s="3">
        <f>TRUNC(B8)</f>
        <v>1</v>
      </c>
    </row>
    <row r="10" spans="1:2" ht="12.75" hidden="1">
      <c r="B10" s="3">
        <f>B2/1000</f>
        <v>11.111000000000001</v>
      </c>
    </row>
    <row r="11" spans="1:2" ht="12.75" hidden="1">
      <c r="B11" s="3">
        <f>TRUNC(B10)</f>
        <v>11</v>
      </c>
    </row>
    <row r="12" spans="1:2" ht="12.75" hidden="1">
      <c r="B12" s="3">
        <f>B11-(B9*10)</f>
        <v>1</v>
      </c>
    </row>
    <row r="13" spans="1:2" ht="12.75" hidden="1">
      <c r="B13" s="3">
        <f>B2/100</f>
        <v>111.11</v>
      </c>
    </row>
    <row r="14" spans="1:2" ht="12.75" hidden="1">
      <c r="B14" s="3">
        <f>TRUNC(B13)</f>
        <v>111</v>
      </c>
    </row>
    <row r="15" spans="1:2" ht="12.75" hidden="1">
      <c r="B15" s="3">
        <f>B14-(B11*10)</f>
        <v>1</v>
      </c>
    </row>
    <row r="16" spans="1:2" ht="12.75" hidden="1">
      <c r="B16" s="3">
        <f>B2/10</f>
        <v>1111.0999999999999</v>
      </c>
    </row>
    <row r="17" spans="1:3" ht="12.75" hidden="1">
      <c r="B17" s="3">
        <f>TRUNC(B16)</f>
        <v>1111</v>
      </c>
    </row>
    <row r="18" spans="1:3" ht="12.75" hidden="1">
      <c r="B18" s="3">
        <f>B17-(B14*10)</f>
        <v>1</v>
      </c>
    </row>
    <row r="19" spans="1:3" ht="12.75" hidden="1">
      <c r="B19" s="3">
        <f>B2</f>
        <v>11111</v>
      </c>
    </row>
    <row r="20" spans="1:3" ht="12.75" hidden="1">
      <c r="B20" s="3">
        <f>TRUNC(B19)</f>
        <v>11111</v>
      </c>
    </row>
    <row r="21" spans="1:3" ht="12.75" hidden="1">
      <c r="B21" s="3">
        <f>B20-(B17*10)</f>
        <v>1</v>
      </c>
    </row>
    <row r="22" spans="1:3" ht="12.95" hidden="1" customHeight="1"/>
    <row r="23" spans="1:3" ht="12.75" hidden="1">
      <c r="B23" s="3">
        <f>B9+B12+B15+B18+B21</f>
        <v>5</v>
      </c>
    </row>
    <row r="24" spans="1:3" ht="12.95" hidden="1" customHeight="1"/>
    <row r="25" spans="1:3" ht="12.95" hidden="1" customHeight="1"/>
    <row r="26" spans="1:3" ht="12.75" hidden="1">
      <c r="A26" s="3">
        <v>1</v>
      </c>
      <c r="B26" s="3">
        <v>12</v>
      </c>
      <c r="C26" s="3">
        <f>IF(A26=$B$23,B26,0)</f>
        <v>0</v>
      </c>
    </row>
    <row r="27" spans="1:3" ht="12.75" hidden="1">
      <c r="A27" s="3">
        <v>2</v>
      </c>
      <c r="B27" s="3">
        <v>15</v>
      </c>
      <c r="C27" s="3">
        <f t="shared" ref="C27:C70" si="0">IF(A27=$B$23,B27,0)</f>
        <v>0</v>
      </c>
    </row>
    <row r="28" spans="1:3" ht="12.75" hidden="1">
      <c r="A28" s="3">
        <v>3</v>
      </c>
      <c r="B28" s="3">
        <v>16</v>
      </c>
      <c r="C28" s="3">
        <f t="shared" si="0"/>
        <v>0</v>
      </c>
    </row>
    <row r="29" spans="1:3" ht="12.75" hidden="1">
      <c r="A29" s="3">
        <v>4</v>
      </c>
      <c r="B29" s="3">
        <v>17</v>
      </c>
      <c r="C29" s="3">
        <f t="shared" si="0"/>
        <v>0</v>
      </c>
    </row>
    <row r="30" spans="1:3" ht="12.75" hidden="1">
      <c r="A30" s="3">
        <v>5</v>
      </c>
      <c r="B30" s="3">
        <v>16</v>
      </c>
      <c r="C30" s="3">
        <f t="shared" si="0"/>
        <v>16</v>
      </c>
    </row>
    <row r="31" spans="1:3" ht="12.75" hidden="1">
      <c r="A31" s="3">
        <v>6</v>
      </c>
      <c r="B31" s="3">
        <v>13</v>
      </c>
      <c r="C31" s="3">
        <f t="shared" si="0"/>
        <v>0</v>
      </c>
    </row>
    <row r="32" spans="1:3" ht="12.75" hidden="1">
      <c r="A32" s="3">
        <v>7</v>
      </c>
      <c r="B32" s="3">
        <v>11</v>
      </c>
      <c r="C32" s="3">
        <f t="shared" si="0"/>
        <v>0</v>
      </c>
    </row>
    <row r="33" spans="1:3" ht="12.75" hidden="1">
      <c r="A33" s="3">
        <v>8</v>
      </c>
      <c r="B33" s="3">
        <v>16</v>
      </c>
      <c r="C33" s="3">
        <f t="shared" si="0"/>
        <v>0</v>
      </c>
    </row>
    <row r="34" spans="1:3" ht="12.75" hidden="1">
      <c r="A34" s="3">
        <v>9</v>
      </c>
      <c r="B34" s="3">
        <v>17</v>
      </c>
      <c r="C34" s="3">
        <f t="shared" si="0"/>
        <v>0</v>
      </c>
    </row>
    <row r="35" spans="1:3" ht="12.75" hidden="1">
      <c r="A35" s="3">
        <v>10</v>
      </c>
      <c r="B35" s="3">
        <v>18</v>
      </c>
      <c r="C35" s="3">
        <f t="shared" si="0"/>
        <v>0</v>
      </c>
    </row>
    <row r="36" spans="1:3" ht="12.75" hidden="1">
      <c r="A36" s="3">
        <v>11</v>
      </c>
      <c r="B36" s="3">
        <v>14</v>
      </c>
      <c r="C36" s="3">
        <f t="shared" si="0"/>
        <v>0</v>
      </c>
    </row>
    <row r="37" spans="1:3" ht="12.75" hidden="1">
      <c r="A37" s="3">
        <v>12</v>
      </c>
      <c r="B37" s="3">
        <v>15</v>
      </c>
      <c r="C37" s="3">
        <f t="shared" si="0"/>
        <v>0</v>
      </c>
    </row>
    <row r="38" spans="1:3" ht="12.75" hidden="1">
      <c r="A38" s="3">
        <v>13</v>
      </c>
      <c r="B38" s="3">
        <v>11</v>
      </c>
      <c r="C38" s="3">
        <f t="shared" si="0"/>
        <v>0</v>
      </c>
    </row>
    <row r="39" spans="1:3" ht="12.75" hidden="1">
      <c r="A39" s="3">
        <v>14</v>
      </c>
      <c r="B39" s="3">
        <v>13</v>
      </c>
      <c r="C39" s="3">
        <f t="shared" si="0"/>
        <v>0</v>
      </c>
    </row>
    <row r="40" spans="1:3" ht="12.75" hidden="1">
      <c r="A40" s="3">
        <v>15</v>
      </c>
      <c r="B40" s="3">
        <v>13</v>
      </c>
      <c r="C40" s="3">
        <f t="shared" si="0"/>
        <v>0</v>
      </c>
    </row>
    <row r="41" spans="1:3" ht="12.75" hidden="1">
      <c r="A41" s="3">
        <v>16</v>
      </c>
      <c r="B41" s="3">
        <v>12</v>
      </c>
      <c r="C41" s="3">
        <f t="shared" si="0"/>
        <v>0</v>
      </c>
    </row>
    <row r="42" spans="1:3" ht="12.75" hidden="1">
      <c r="A42" s="3">
        <v>17</v>
      </c>
      <c r="B42" s="3">
        <v>18</v>
      </c>
      <c r="C42" s="3">
        <f t="shared" si="0"/>
        <v>0</v>
      </c>
    </row>
    <row r="43" spans="1:3" ht="12.75" hidden="1">
      <c r="A43" s="3">
        <v>18</v>
      </c>
      <c r="B43" s="3">
        <v>16</v>
      </c>
      <c r="C43" s="3">
        <f t="shared" si="0"/>
        <v>0</v>
      </c>
    </row>
    <row r="44" spans="1:3" ht="12.75" hidden="1">
      <c r="A44" s="3">
        <v>19</v>
      </c>
      <c r="B44" s="3">
        <v>14</v>
      </c>
      <c r="C44" s="3">
        <f t="shared" si="0"/>
        <v>0</v>
      </c>
    </row>
    <row r="45" spans="1:3" ht="12.75" hidden="1">
      <c r="A45" s="3">
        <v>20</v>
      </c>
      <c r="B45" s="3">
        <v>14</v>
      </c>
      <c r="C45" s="3">
        <f t="shared" si="0"/>
        <v>0</v>
      </c>
    </row>
    <row r="46" spans="1:3" ht="12.75" hidden="1">
      <c r="A46" s="3">
        <v>21</v>
      </c>
      <c r="B46" s="3">
        <v>17</v>
      </c>
      <c r="C46" s="3">
        <f t="shared" si="0"/>
        <v>0</v>
      </c>
    </row>
    <row r="47" spans="1:3" ht="12.75" hidden="1">
      <c r="A47" s="3">
        <v>22</v>
      </c>
      <c r="B47" s="3">
        <v>15</v>
      </c>
      <c r="C47" s="3">
        <f t="shared" si="0"/>
        <v>0</v>
      </c>
    </row>
    <row r="48" spans="1:3" ht="12.75" hidden="1">
      <c r="A48" s="3">
        <v>23</v>
      </c>
      <c r="B48" s="3">
        <v>18</v>
      </c>
      <c r="C48" s="3">
        <f t="shared" si="0"/>
        <v>0</v>
      </c>
    </row>
    <row r="49" spans="1:3" ht="12.75" hidden="1">
      <c r="A49" s="3">
        <v>24</v>
      </c>
      <c r="B49" s="3">
        <v>13</v>
      </c>
      <c r="C49" s="3">
        <f t="shared" si="0"/>
        <v>0</v>
      </c>
    </row>
    <row r="50" spans="1:3" ht="12.75" hidden="1">
      <c r="A50" s="3">
        <v>25</v>
      </c>
      <c r="B50" s="3">
        <v>16</v>
      </c>
      <c r="C50" s="3">
        <f t="shared" si="0"/>
        <v>0</v>
      </c>
    </row>
    <row r="51" spans="1:3" ht="12.75" hidden="1">
      <c r="A51" s="3">
        <v>26</v>
      </c>
      <c r="B51" s="3">
        <v>11</v>
      </c>
      <c r="C51" s="3">
        <f t="shared" si="0"/>
        <v>0</v>
      </c>
    </row>
    <row r="52" spans="1:3" ht="12.75" hidden="1">
      <c r="A52" s="3">
        <v>27</v>
      </c>
      <c r="B52" s="3">
        <v>12</v>
      </c>
      <c r="C52" s="3">
        <f t="shared" si="0"/>
        <v>0</v>
      </c>
    </row>
    <row r="53" spans="1:3" ht="12.75" hidden="1">
      <c r="A53" s="3">
        <v>28</v>
      </c>
      <c r="B53" s="3">
        <v>14</v>
      </c>
      <c r="C53" s="3">
        <f t="shared" si="0"/>
        <v>0</v>
      </c>
    </row>
    <row r="54" spans="1:3" ht="12.75" hidden="1">
      <c r="A54" s="3">
        <v>29</v>
      </c>
      <c r="B54" s="3">
        <v>18</v>
      </c>
      <c r="C54" s="3">
        <f t="shared" si="0"/>
        <v>0</v>
      </c>
    </row>
    <row r="55" spans="1:3" ht="12.75" hidden="1">
      <c r="A55" s="3">
        <v>30</v>
      </c>
      <c r="B55" s="3">
        <v>19</v>
      </c>
      <c r="C55" s="3">
        <f>IF(A55=$B$23,B55,0)</f>
        <v>0</v>
      </c>
    </row>
    <row r="56" spans="1:3" ht="12.75" hidden="1">
      <c r="A56" s="3">
        <v>31</v>
      </c>
      <c r="B56" s="3">
        <v>18</v>
      </c>
      <c r="C56" s="3">
        <f t="shared" si="0"/>
        <v>0</v>
      </c>
    </row>
    <row r="57" spans="1:3" ht="12.75" hidden="1">
      <c r="A57" s="3">
        <v>32</v>
      </c>
      <c r="B57" s="3">
        <v>12</v>
      </c>
      <c r="C57" s="3">
        <f t="shared" si="0"/>
        <v>0</v>
      </c>
    </row>
    <row r="58" spans="1:3" ht="12.75" hidden="1">
      <c r="A58" s="3">
        <v>33</v>
      </c>
      <c r="B58" s="3">
        <v>11</v>
      </c>
      <c r="C58" s="3">
        <f t="shared" si="0"/>
        <v>0</v>
      </c>
    </row>
    <row r="59" spans="1:3" ht="12.75" hidden="1">
      <c r="A59" s="3">
        <v>34</v>
      </c>
      <c r="B59" s="3">
        <v>17</v>
      </c>
      <c r="C59" s="3">
        <f t="shared" si="0"/>
        <v>0</v>
      </c>
    </row>
    <row r="60" spans="1:3" ht="12.75" hidden="1">
      <c r="A60" s="3">
        <v>35</v>
      </c>
      <c r="B60" s="3">
        <v>14</v>
      </c>
      <c r="C60" s="3">
        <f t="shared" si="0"/>
        <v>0</v>
      </c>
    </row>
    <row r="61" spans="1:3" ht="12.75" hidden="1">
      <c r="A61" s="3">
        <v>36</v>
      </c>
      <c r="B61" s="3">
        <v>18</v>
      </c>
      <c r="C61" s="3">
        <f t="shared" si="0"/>
        <v>0</v>
      </c>
    </row>
    <row r="62" spans="1:3" ht="12.75" hidden="1">
      <c r="A62" s="3">
        <v>37</v>
      </c>
      <c r="B62" s="3">
        <v>15</v>
      </c>
      <c r="C62" s="3">
        <f t="shared" si="0"/>
        <v>0</v>
      </c>
    </row>
    <row r="63" spans="1:3" ht="12.75" hidden="1">
      <c r="A63" s="3">
        <v>38</v>
      </c>
      <c r="B63" s="3">
        <v>18</v>
      </c>
      <c r="C63" s="3">
        <f t="shared" si="0"/>
        <v>0</v>
      </c>
    </row>
    <row r="64" spans="1:3" ht="12.75" hidden="1">
      <c r="A64" s="3">
        <v>39</v>
      </c>
      <c r="B64" s="3">
        <v>16</v>
      </c>
      <c r="C64" s="3">
        <f t="shared" si="0"/>
        <v>0</v>
      </c>
    </row>
    <row r="65" spans="1:8" ht="12.75" hidden="1">
      <c r="A65" s="3">
        <v>40</v>
      </c>
      <c r="B65" s="3">
        <v>18</v>
      </c>
      <c r="C65" s="3">
        <f t="shared" si="0"/>
        <v>0</v>
      </c>
    </row>
    <row r="66" spans="1:8" ht="12.75" hidden="1">
      <c r="A66" s="3">
        <v>41</v>
      </c>
      <c r="B66" s="3">
        <v>17</v>
      </c>
      <c r="C66" s="3">
        <f t="shared" si="0"/>
        <v>0</v>
      </c>
    </row>
    <row r="67" spans="1:8" ht="12.75" hidden="1">
      <c r="A67" s="3">
        <v>42</v>
      </c>
      <c r="B67" s="3">
        <v>12</v>
      </c>
      <c r="C67" s="3">
        <f t="shared" si="0"/>
        <v>0</v>
      </c>
    </row>
    <row r="68" spans="1:8" ht="12.75" hidden="1">
      <c r="A68" s="3">
        <v>43</v>
      </c>
      <c r="B68" s="3">
        <v>17</v>
      </c>
      <c r="C68" s="3">
        <f t="shared" si="0"/>
        <v>0</v>
      </c>
    </row>
    <row r="69" spans="1:8" ht="12.75" hidden="1">
      <c r="A69" s="3">
        <v>44</v>
      </c>
      <c r="B69" s="3">
        <v>13</v>
      </c>
      <c r="C69" s="3">
        <f t="shared" si="0"/>
        <v>0</v>
      </c>
    </row>
    <row r="70" spans="1:8" ht="12.75" hidden="1">
      <c r="A70" s="3">
        <v>45</v>
      </c>
      <c r="B70" s="3">
        <v>13</v>
      </c>
      <c r="C70" s="3">
        <f t="shared" si="0"/>
        <v>0</v>
      </c>
    </row>
    <row r="71" spans="1:8" ht="12.75" hidden="1">
      <c r="A71" s="3" t="s">
        <v>4</v>
      </c>
      <c r="C71" s="5">
        <f>SUM(C26:C70)</f>
        <v>16</v>
      </c>
      <c r="D71" s="5">
        <f>B23</f>
        <v>5</v>
      </c>
      <c r="E71" s="5">
        <f>B14</f>
        <v>111</v>
      </c>
      <c r="F71" s="5">
        <f>B17</f>
        <v>1111</v>
      </c>
      <c r="G71" s="5">
        <f>B19</f>
        <v>11111</v>
      </c>
      <c r="H71" s="5">
        <f>G71/C71</f>
        <v>694.4375</v>
      </c>
    </row>
    <row r="72" spans="1:8" ht="12.75" hidden="1">
      <c r="C72" s="5">
        <f>D72/9</f>
        <v>1.3888888888888888</v>
      </c>
      <c r="D72" s="5">
        <f>D71*2.5</f>
        <v>12.5</v>
      </c>
      <c r="E72" s="5">
        <f>E71*2.5</f>
        <v>277.5</v>
      </c>
      <c r="F72" s="5">
        <f>F71*2.5</f>
        <v>2777.5</v>
      </c>
      <c r="G72" s="5">
        <f>G71*2.5</f>
        <v>27777.5</v>
      </c>
      <c r="H72" s="5">
        <f>H71*2.5</f>
        <v>1736.09375</v>
      </c>
    </row>
    <row r="73" spans="1:8" ht="12.75" hidden="1">
      <c r="C73" s="5">
        <f>(C72+C71)/2</f>
        <v>8.6944444444444446</v>
      </c>
      <c r="D73" s="5">
        <f>$C$73*D71</f>
        <v>43.472222222222221</v>
      </c>
      <c r="E73" s="5">
        <f>$C$73*E71</f>
        <v>965.08333333333337</v>
      </c>
      <c r="F73" s="5">
        <f>$C$73*F71</f>
        <v>9659.5277777777774</v>
      </c>
      <c r="G73" s="5">
        <f>$C$73*G71</f>
        <v>96603.972222222219</v>
      </c>
      <c r="H73" s="5">
        <f>$C$73*H71</f>
        <v>6037.7482638888887</v>
      </c>
    </row>
    <row r="74" spans="1:8" ht="12.75" hidden="1">
      <c r="C74" s="5">
        <f>SUM(C72:C73)</f>
        <v>10.083333333333334</v>
      </c>
      <c r="D74" s="5">
        <f>$C$74*C71</f>
        <v>161.33333333333334</v>
      </c>
      <c r="E74" s="5">
        <f>$C$74*D71</f>
        <v>50.416666666666671</v>
      </c>
      <c r="F74" s="5">
        <f>$C$74*E71</f>
        <v>1119.25</v>
      </c>
      <c r="G74" s="5">
        <f>$C$74*F71</f>
        <v>11202.583333333334</v>
      </c>
      <c r="H74" s="5">
        <f>$C$74*G71</f>
        <v>112035.91666666667</v>
      </c>
    </row>
  </sheetData>
  <sheetProtection password="B806"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65"/>
  <sheetViews>
    <sheetView zoomScale="145" zoomScaleNormal="145" zoomScalePageLayoutView="130" workbookViewId="0"/>
  </sheetViews>
  <sheetFormatPr defaultColWidth="0" defaultRowHeight="12.75" zeroHeight="1"/>
  <cols>
    <col min="1" max="1" width="8.85546875" style="8" customWidth="1"/>
    <col min="2" max="2" width="2.42578125" style="10" customWidth="1"/>
    <col min="3" max="3" width="32.140625" style="10" customWidth="1"/>
    <col min="4" max="4" width="12.42578125" style="10" customWidth="1"/>
    <col min="5" max="5" width="13.42578125" style="10" customWidth="1"/>
    <col min="6" max="6" width="4.7109375" style="10" customWidth="1"/>
    <col min="7" max="7" width="13" style="10" customWidth="1"/>
    <col min="8" max="8" width="3.7109375" style="10" customWidth="1"/>
    <col min="9" max="9" width="13" style="10" customWidth="1"/>
    <col min="10" max="14" width="11.42578125" style="10" hidden="1"/>
    <col min="15" max="15" width="11.7109375" style="10" hidden="1"/>
    <col min="16" max="16" width="8.85546875" style="8" hidden="1"/>
    <col min="17" max="17" width="2.42578125" style="10" hidden="1"/>
    <col min="18" max="18" width="30.7109375" style="10" hidden="1"/>
    <col min="19" max="19" width="12.42578125" style="10" hidden="1"/>
    <col min="20" max="20" width="13.42578125" style="10" hidden="1"/>
    <col min="21" max="21" width="4.7109375" style="10" hidden="1"/>
    <col min="22" max="22" width="13" style="10" hidden="1"/>
    <col min="23" max="23" width="3.7109375" style="10" hidden="1"/>
    <col min="24" max="24" width="13" style="10" hidden="1"/>
    <col min="25" max="25" width="11.42578125" style="10" hidden="1"/>
    <col min="26" max="27" width="9.85546875" style="10" hidden="1"/>
    <col min="28" max="29" width="8.85546875" style="10" hidden="1"/>
    <col min="30" max="30" width="14" style="10" hidden="1"/>
    <col min="31" max="32" width="10.42578125" style="10" hidden="1"/>
    <col min="33" max="16384" width="8.85546875" style="10" hidden="1"/>
  </cols>
  <sheetData>
    <row r="1" spans="2:34" ht="69" customHeight="1">
      <c r="B1" s="152" t="str">
        <f>Q1</f>
        <v>Applying what you have learned in chapter 16, select the correct answer for each red cell below.  Once the correct answer is selected the cell will turn green.  Round all answers to the nearest whole dollar unless otherwise specified.  When selecting your answers be sure that each line is only used once in the statement of cash flows (i.e. do not select "cash received from customers" twice in the same cash flow statement).</v>
      </c>
      <c r="C1" s="160"/>
      <c r="D1" s="160"/>
      <c r="E1" s="160"/>
      <c r="F1" s="160"/>
      <c r="G1" s="160"/>
      <c r="H1" s="160"/>
      <c r="I1" s="160"/>
      <c r="J1" s="9"/>
      <c r="K1" s="9"/>
      <c r="L1" s="9"/>
      <c r="M1" s="9"/>
      <c r="N1" s="9"/>
      <c r="Q1" s="152" t="s">
        <v>111</v>
      </c>
      <c r="R1" s="160"/>
      <c r="S1" s="160"/>
      <c r="T1" s="160"/>
      <c r="U1" s="160"/>
      <c r="V1" s="160"/>
      <c r="W1" s="160"/>
      <c r="X1" s="160"/>
      <c r="Y1" s="9"/>
    </row>
    <row r="2" spans="2:34"/>
    <row r="3" spans="2:34" ht="72" customHeight="1">
      <c r="B3" s="161" t="str">
        <f>Q3</f>
        <v>Your Name Here began a music accessories company named URTunes.  As the corporate controller you have the responsibility of preparing the statement of cash flows for the current year ended December 31, 20X2.  Your staff accountants have presented you with the following balance sheet and income statement to be used in preparing the statement of cash flows.</v>
      </c>
      <c r="C3" s="161"/>
      <c r="D3" s="161"/>
      <c r="E3" s="161"/>
      <c r="F3" s="161"/>
      <c r="G3" s="161"/>
      <c r="H3" s="161"/>
      <c r="I3" s="161"/>
      <c r="J3" s="11"/>
      <c r="K3" s="11"/>
      <c r="L3" s="11"/>
      <c r="M3" s="11"/>
      <c r="N3" s="11"/>
      <c r="Q3" s="161" t="str">
        <f>CONCATENATE(Identification!$B$1,AH5)</f>
        <v>Your Name Here began a music accessories company named URTunes.  As the corporate controller you have the responsibility of preparing the statement of cash flows for the current year ended December 31, 20X2.  Your staff accountants have presented you with the following balance sheet and income statement to be used in preparing the statement of cash flows.</v>
      </c>
      <c r="R3" s="161"/>
      <c r="S3" s="161"/>
      <c r="T3" s="161"/>
      <c r="U3" s="161"/>
      <c r="V3" s="161"/>
      <c r="W3" s="161"/>
      <c r="X3" s="161"/>
      <c r="Y3" s="11"/>
    </row>
    <row r="4" spans="2:34">
      <c r="AB4" s="152"/>
      <c r="AC4" s="152"/>
      <c r="AD4" s="152"/>
      <c r="AE4" s="152"/>
      <c r="AF4" s="152"/>
      <c r="AG4" s="152"/>
    </row>
    <row r="5" spans="2:34">
      <c r="B5" s="162" t="s">
        <v>62</v>
      </c>
      <c r="C5" s="162"/>
      <c r="D5" s="162"/>
      <c r="E5" s="162"/>
      <c r="F5" s="162"/>
      <c r="G5" s="162"/>
      <c r="H5" s="162"/>
      <c r="Q5" s="162" t="s">
        <v>62</v>
      </c>
      <c r="R5" s="162"/>
      <c r="S5" s="162"/>
      <c r="T5" s="162"/>
      <c r="U5" s="162"/>
      <c r="V5" s="162"/>
      <c r="W5" s="162"/>
      <c r="AB5" s="163"/>
      <c r="AC5" s="163"/>
      <c r="AD5" s="163"/>
      <c r="AE5" s="163"/>
      <c r="AF5" s="163"/>
      <c r="AG5" s="163"/>
      <c r="AH5" s="12" t="s">
        <v>106</v>
      </c>
    </row>
    <row r="6" spans="2:34">
      <c r="B6" s="162" t="s">
        <v>17</v>
      </c>
      <c r="C6" s="162"/>
      <c r="D6" s="162"/>
      <c r="E6" s="162"/>
      <c r="F6" s="162"/>
      <c r="G6" s="162"/>
      <c r="H6" s="162"/>
      <c r="Q6" s="162" t="s">
        <v>17</v>
      </c>
      <c r="R6" s="162"/>
      <c r="S6" s="162"/>
      <c r="T6" s="162"/>
      <c r="U6" s="162"/>
      <c r="V6" s="162"/>
      <c r="W6" s="162"/>
      <c r="AB6" s="5">
        <f>Identification!C71</f>
        <v>16</v>
      </c>
      <c r="AC6" s="5">
        <f>Identification!D71</f>
        <v>5</v>
      </c>
      <c r="AD6" s="5">
        <f>Identification!E71</f>
        <v>111</v>
      </c>
      <c r="AE6" s="5">
        <f>Identification!F71</f>
        <v>1111</v>
      </c>
      <c r="AF6" s="5">
        <f>Identification!G71</f>
        <v>11111</v>
      </c>
      <c r="AG6" s="5">
        <f>Identification!H71</f>
        <v>694.4375</v>
      </c>
    </row>
    <row r="7" spans="2:34">
      <c r="B7" s="162" t="s">
        <v>59</v>
      </c>
      <c r="C7" s="162"/>
      <c r="D7" s="162"/>
      <c r="E7" s="162"/>
      <c r="F7" s="162"/>
      <c r="G7" s="162"/>
      <c r="H7" s="162"/>
      <c r="Q7" s="162" t="s">
        <v>59</v>
      </c>
      <c r="R7" s="162"/>
      <c r="S7" s="162"/>
      <c r="T7" s="162"/>
      <c r="U7" s="162"/>
      <c r="V7" s="162"/>
      <c r="W7" s="162"/>
      <c r="AB7" s="5">
        <f>Identification!C72</f>
        <v>1.3888888888888888</v>
      </c>
      <c r="AC7" s="5">
        <f>Identification!D72</f>
        <v>12.5</v>
      </c>
      <c r="AD7" s="5">
        <f>Identification!E72</f>
        <v>277.5</v>
      </c>
      <c r="AE7" s="5">
        <f>Identification!F72</f>
        <v>2777.5</v>
      </c>
      <c r="AF7" s="5">
        <f>Identification!G72</f>
        <v>27777.5</v>
      </c>
      <c r="AG7" s="5">
        <f>Identification!H72</f>
        <v>1736.09375</v>
      </c>
    </row>
    <row r="8" spans="2:34" ht="6.75" customHeight="1">
      <c r="B8" s="13"/>
      <c r="C8" s="13"/>
      <c r="D8" s="13"/>
      <c r="E8" s="13"/>
      <c r="F8" s="13"/>
      <c r="G8" s="13"/>
      <c r="H8" s="13"/>
      <c r="Q8" s="13"/>
      <c r="R8" s="13"/>
      <c r="S8" s="13"/>
      <c r="T8" s="13"/>
      <c r="U8" s="13"/>
      <c r="V8" s="13"/>
      <c r="W8" s="13"/>
      <c r="AB8" s="5">
        <f>Identification!C73</f>
        <v>8.6944444444444446</v>
      </c>
      <c r="AC8" s="5">
        <f>Identification!D73</f>
        <v>43.472222222222221</v>
      </c>
      <c r="AD8" s="5">
        <f>Identification!E73</f>
        <v>965.08333333333337</v>
      </c>
      <c r="AE8" s="5">
        <f>Identification!F73</f>
        <v>9659.5277777777774</v>
      </c>
      <c r="AF8" s="5">
        <f>Identification!G73</f>
        <v>96603.972222222219</v>
      </c>
      <c r="AG8" s="5">
        <f>Identification!H73</f>
        <v>6037.7482638888887</v>
      </c>
    </row>
    <row r="9" spans="2:34">
      <c r="B9" s="14"/>
      <c r="C9" s="15" t="s">
        <v>18</v>
      </c>
      <c r="D9" s="15"/>
      <c r="E9" s="16" t="s">
        <v>60</v>
      </c>
      <c r="F9" s="15"/>
      <c r="G9" s="16" t="s">
        <v>61</v>
      </c>
      <c r="H9" s="17"/>
      <c r="Q9" s="14"/>
      <c r="R9" s="15" t="s">
        <v>18</v>
      </c>
      <c r="S9" s="15"/>
      <c r="T9" s="16" t="s">
        <v>60</v>
      </c>
      <c r="U9" s="15"/>
      <c r="V9" s="16" t="s">
        <v>61</v>
      </c>
      <c r="W9" s="17"/>
      <c r="AB9" s="5">
        <f>Identification!C74</f>
        <v>10.083333333333334</v>
      </c>
      <c r="AC9" s="5">
        <f>Identification!D74</f>
        <v>161.33333333333334</v>
      </c>
      <c r="AD9" s="5">
        <f>Identification!E74</f>
        <v>50.416666666666671</v>
      </c>
      <c r="AE9" s="5">
        <f>Identification!F74</f>
        <v>1119.25</v>
      </c>
      <c r="AF9" s="5">
        <f>Identification!G74</f>
        <v>11202.583333333334</v>
      </c>
      <c r="AG9" s="5">
        <f>Identification!H74</f>
        <v>112035.91666666667</v>
      </c>
    </row>
    <row r="10" spans="2:34">
      <c r="B10" s="18"/>
      <c r="C10" s="19" t="s">
        <v>19</v>
      </c>
      <c r="D10" s="19"/>
      <c r="E10" s="19"/>
      <c r="F10" s="19"/>
      <c r="G10" s="20"/>
      <c r="H10" s="21"/>
      <c r="Q10" s="18"/>
      <c r="R10" s="19" t="s">
        <v>19</v>
      </c>
      <c r="S10" s="19"/>
      <c r="T10" s="19"/>
      <c r="U10" s="19"/>
      <c r="V10" s="20"/>
      <c r="W10" s="21"/>
      <c r="AB10" s="12" t="s">
        <v>79</v>
      </c>
    </row>
    <row r="11" spans="2:34">
      <c r="B11" s="18"/>
      <c r="C11" s="22" t="s">
        <v>16</v>
      </c>
      <c r="D11" s="23"/>
      <c r="E11" s="24">
        <f>T11</f>
        <v>763000</v>
      </c>
      <c r="F11" s="23"/>
      <c r="G11" s="24">
        <f>V11</f>
        <v>233000</v>
      </c>
      <c r="H11" s="21"/>
      <c r="I11" s="25"/>
      <c r="J11" s="12"/>
      <c r="K11" s="12"/>
      <c r="L11" s="12"/>
      <c r="M11" s="12"/>
      <c r="N11" s="12"/>
      <c r="Q11" s="18"/>
      <c r="R11" s="22" t="s">
        <v>16</v>
      </c>
      <c r="S11" s="23"/>
      <c r="T11" s="24">
        <f>700000+AA12</f>
        <v>763000</v>
      </c>
      <c r="U11" s="23"/>
      <c r="V11" s="24">
        <f>170000+AA12</f>
        <v>233000</v>
      </c>
      <c r="W11" s="21"/>
      <c r="X11" s="25"/>
      <c r="Y11" s="12"/>
      <c r="Z11" s="12"/>
      <c r="AA11" s="12"/>
      <c r="AB11" s="5">
        <f>ROUND(AC6+AB6,0)</f>
        <v>21</v>
      </c>
      <c r="AC11" s="6">
        <f>AB11*3000</f>
        <v>63000</v>
      </c>
      <c r="AD11" s="12" t="s">
        <v>81</v>
      </c>
      <c r="AE11" s="5">
        <f>ROUND(AD6,0)</f>
        <v>111</v>
      </c>
      <c r="AF11" s="7">
        <f>AE11*10000</f>
        <v>1110000</v>
      </c>
      <c r="AG11" s="5"/>
    </row>
    <row r="12" spans="2:34">
      <c r="B12" s="18"/>
      <c r="C12" s="22" t="s">
        <v>20</v>
      </c>
      <c r="D12" s="23"/>
      <c r="E12" s="23">
        <f>T12</f>
        <v>913000</v>
      </c>
      <c r="F12" s="23"/>
      <c r="G12" s="23">
        <f>V12</f>
        <v>663000</v>
      </c>
      <c r="H12" s="21"/>
      <c r="I12" s="12"/>
      <c r="Q12" s="18"/>
      <c r="R12" s="22" t="s">
        <v>20</v>
      </c>
      <c r="S12" s="23"/>
      <c r="T12" s="23">
        <f>850000+AA12</f>
        <v>913000</v>
      </c>
      <c r="U12" s="23"/>
      <c r="V12" s="23">
        <f>600000+AA12</f>
        <v>663000</v>
      </c>
      <c r="W12" s="21"/>
      <c r="X12" s="12"/>
      <c r="Z12" s="12"/>
      <c r="AA12" s="26">
        <f>AC11</f>
        <v>63000</v>
      </c>
      <c r="AB12" s="5"/>
      <c r="AC12" s="5"/>
      <c r="AD12" s="12"/>
      <c r="AE12" s="5"/>
      <c r="AF12" s="5"/>
      <c r="AG12" s="5"/>
    </row>
    <row r="13" spans="2:34" ht="15">
      <c r="B13" s="18"/>
      <c r="C13" s="22" t="s">
        <v>21</v>
      </c>
      <c r="D13" s="23"/>
      <c r="E13" s="164">
        <f>T13</f>
        <v>243000</v>
      </c>
      <c r="F13" s="23"/>
      <c r="G13" s="164">
        <f>V13</f>
        <v>283000</v>
      </c>
      <c r="H13" s="21"/>
      <c r="I13" s="12"/>
      <c r="Q13" s="18"/>
      <c r="R13" s="22" t="s">
        <v>21</v>
      </c>
      <c r="S13" s="23"/>
      <c r="T13" s="164">
        <f>180000+AA12</f>
        <v>243000</v>
      </c>
      <c r="U13" s="23"/>
      <c r="V13" s="164">
        <f>220000+AA12</f>
        <v>283000</v>
      </c>
      <c r="W13" s="21"/>
      <c r="X13" s="12"/>
      <c r="Z13" s="12"/>
      <c r="AA13" s="12"/>
      <c r="AB13" s="6">
        <f>ROUND(AB6,0)*20000</f>
        <v>320000</v>
      </c>
      <c r="AC13" s="5"/>
      <c r="AE13" s="5"/>
      <c r="AF13" s="5"/>
      <c r="AG13" s="5"/>
    </row>
    <row r="14" spans="2:34" ht="15">
      <c r="B14" s="18"/>
      <c r="C14" s="23" t="s">
        <v>22</v>
      </c>
      <c r="D14" s="23"/>
      <c r="E14" s="27">
        <f>SUM(E11:E13)</f>
        <v>1919000</v>
      </c>
      <c r="F14" s="27"/>
      <c r="G14" s="27">
        <f>SUM(G11:G13)</f>
        <v>1179000</v>
      </c>
      <c r="H14" s="21"/>
      <c r="I14" s="28"/>
      <c r="N14" s="12"/>
      <c r="O14" s="12"/>
      <c r="Q14" s="18"/>
      <c r="R14" s="23" t="s">
        <v>22</v>
      </c>
      <c r="S14" s="23"/>
      <c r="T14" s="27">
        <f>SUM(T11:T13)</f>
        <v>1919000</v>
      </c>
      <c r="U14" s="27"/>
      <c r="V14" s="27">
        <f>SUM(V11:V13)</f>
        <v>1179000</v>
      </c>
      <c r="W14" s="21"/>
      <c r="X14" s="28"/>
      <c r="Z14" s="25"/>
      <c r="AA14" s="25"/>
      <c r="AB14" s="5"/>
      <c r="AC14" s="5"/>
      <c r="AE14" s="5"/>
      <c r="AF14" s="5"/>
      <c r="AG14" s="5"/>
    </row>
    <row r="15" spans="2:34">
      <c r="B15" s="18"/>
      <c r="C15" s="19" t="s">
        <v>23</v>
      </c>
      <c r="D15" s="19"/>
      <c r="E15" s="19"/>
      <c r="F15" s="19"/>
      <c r="G15" s="19"/>
      <c r="H15" s="21"/>
      <c r="N15" s="29"/>
      <c r="O15" s="29"/>
      <c r="Q15" s="18"/>
      <c r="R15" s="19" t="s">
        <v>23</v>
      </c>
      <c r="S15" s="19"/>
      <c r="T15" s="19"/>
      <c r="U15" s="19"/>
      <c r="V15" s="19"/>
      <c r="W15" s="21"/>
      <c r="AB15" s="5"/>
      <c r="AC15" s="5"/>
      <c r="AE15" s="5"/>
      <c r="AF15" s="5"/>
      <c r="AG15" s="5"/>
    </row>
    <row r="16" spans="2:34">
      <c r="B16" s="18"/>
      <c r="C16" s="22" t="s">
        <v>24</v>
      </c>
      <c r="D16" s="23"/>
      <c r="E16" s="24">
        <f>T16</f>
        <v>863000</v>
      </c>
      <c r="F16" s="23"/>
      <c r="G16" s="24">
        <f>V16</f>
        <v>1463000</v>
      </c>
      <c r="H16" s="21"/>
      <c r="Q16" s="18"/>
      <c r="R16" s="22" t="s">
        <v>24</v>
      </c>
      <c r="S16" s="23"/>
      <c r="T16" s="24">
        <f>800000+AA12</f>
        <v>863000</v>
      </c>
      <c r="U16" s="23"/>
      <c r="V16" s="24">
        <f>1400000+AA12</f>
        <v>1463000</v>
      </c>
      <c r="W16" s="21"/>
      <c r="AB16" s="5"/>
      <c r="AC16" s="5"/>
      <c r="AE16" s="5"/>
      <c r="AF16" s="5"/>
      <c r="AG16" s="5"/>
    </row>
    <row r="17" spans="2:33">
      <c r="B17" s="18"/>
      <c r="C17" s="22" t="s">
        <v>25</v>
      </c>
      <c r="D17" s="23"/>
      <c r="E17" s="23">
        <f>T17</f>
        <v>1063000</v>
      </c>
      <c r="F17" s="24"/>
      <c r="G17" s="23">
        <f>V17</f>
        <v>763000</v>
      </c>
      <c r="H17" s="21"/>
      <c r="Q17" s="18"/>
      <c r="R17" s="22" t="s">
        <v>25</v>
      </c>
      <c r="S17" s="23"/>
      <c r="T17" s="23">
        <f>1000000+AA12</f>
        <v>1063000</v>
      </c>
      <c r="U17" s="24"/>
      <c r="V17" s="23">
        <f>700000+AA12</f>
        <v>763000</v>
      </c>
      <c r="W17" s="21"/>
      <c r="AB17" s="5"/>
      <c r="AC17" s="5"/>
      <c r="AE17" s="5"/>
      <c r="AF17" s="5"/>
      <c r="AG17" s="5"/>
    </row>
    <row r="18" spans="2:33" ht="15">
      <c r="B18" s="18"/>
      <c r="C18" s="22" t="s">
        <v>26</v>
      </c>
      <c r="D18" s="23"/>
      <c r="E18" s="30">
        <f>T18</f>
        <v>1113000</v>
      </c>
      <c r="F18" s="24"/>
      <c r="G18" s="30">
        <f>V18</f>
        <v>963000</v>
      </c>
      <c r="H18" s="21"/>
      <c r="Q18" s="18"/>
      <c r="R18" s="22" t="s">
        <v>26</v>
      </c>
      <c r="S18" s="23"/>
      <c r="T18" s="30">
        <f>1050000+AA12</f>
        <v>1113000</v>
      </c>
      <c r="U18" s="24"/>
      <c r="V18" s="30">
        <f>900000+AA12</f>
        <v>963000</v>
      </c>
      <c r="W18" s="21"/>
    </row>
    <row r="19" spans="2:33">
      <c r="B19" s="18"/>
      <c r="C19" s="23"/>
      <c r="D19" s="23"/>
      <c r="E19" s="24">
        <f>SUM(E16:E18)</f>
        <v>3039000</v>
      </c>
      <c r="F19" s="24"/>
      <c r="G19" s="24">
        <f>SUM(G16:G18)</f>
        <v>3189000</v>
      </c>
      <c r="H19" s="21"/>
      <c r="Q19" s="18"/>
      <c r="R19" s="23"/>
      <c r="S19" s="23"/>
      <c r="T19" s="24">
        <f>SUM(T16:T18)</f>
        <v>3039000</v>
      </c>
      <c r="U19" s="24"/>
      <c r="V19" s="24">
        <f>SUM(V16:V18)</f>
        <v>3189000</v>
      </c>
      <c r="W19" s="21"/>
    </row>
    <row r="20" spans="2:33" ht="15">
      <c r="B20" s="18"/>
      <c r="C20" s="31" t="s">
        <v>27</v>
      </c>
      <c r="D20" s="32"/>
      <c r="E20" s="30">
        <f>T20</f>
        <v>-417000</v>
      </c>
      <c r="F20" s="30"/>
      <c r="G20" s="30">
        <f>V20</f>
        <v>-297000</v>
      </c>
      <c r="H20" s="21"/>
      <c r="Q20" s="18"/>
      <c r="R20" s="31" t="s">
        <v>27</v>
      </c>
      <c r="S20" s="32"/>
      <c r="T20" s="30">
        <f>-480000+AA12</f>
        <v>-417000</v>
      </c>
      <c r="U20" s="30"/>
      <c r="V20" s="30">
        <f>-360000+AA12</f>
        <v>-297000</v>
      </c>
      <c r="W20" s="21"/>
    </row>
    <row r="21" spans="2:33" ht="15">
      <c r="B21" s="18"/>
      <c r="C21" s="23" t="s">
        <v>28</v>
      </c>
      <c r="D21" s="23"/>
      <c r="E21" s="27">
        <f>SUM(E19:E20)</f>
        <v>2622000</v>
      </c>
      <c r="F21" s="23"/>
      <c r="G21" s="27">
        <f>SUM(G19:G20)</f>
        <v>2892000</v>
      </c>
      <c r="H21" s="21"/>
      <c r="Q21" s="18"/>
      <c r="R21" s="23" t="s">
        <v>28</v>
      </c>
      <c r="S21" s="23"/>
      <c r="T21" s="27">
        <f>SUM(T19:T20)</f>
        <v>2622000</v>
      </c>
      <c r="U21" s="23"/>
      <c r="V21" s="27">
        <f>SUM(V19:V20)</f>
        <v>2892000</v>
      </c>
      <c r="W21" s="21"/>
    </row>
    <row r="22" spans="2:33" ht="15">
      <c r="B22" s="18"/>
      <c r="C22" s="33" t="s">
        <v>29</v>
      </c>
      <c r="D22" s="34"/>
      <c r="E22" s="35">
        <f>E14+E21</f>
        <v>4541000</v>
      </c>
      <c r="F22" s="34"/>
      <c r="G22" s="35">
        <f>G14+G21</f>
        <v>4071000</v>
      </c>
      <c r="H22" s="21"/>
      <c r="Q22" s="18"/>
      <c r="R22" s="33" t="s">
        <v>29</v>
      </c>
      <c r="S22" s="34"/>
      <c r="T22" s="35">
        <f>T14+T21</f>
        <v>4541000</v>
      </c>
      <c r="U22" s="34"/>
      <c r="V22" s="35">
        <f>V14+V21</f>
        <v>4071000</v>
      </c>
      <c r="W22" s="21"/>
    </row>
    <row r="23" spans="2:33">
      <c r="B23" s="18"/>
      <c r="C23" s="18"/>
      <c r="D23" s="18"/>
      <c r="E23" s="18"/>
      <c r="F23" s="18"/>
      <c r="G23" s="18"/>
      <c r="H23" s="18"/>
      <c r="Q23" s="18"/>
      <c r="R23" s="18"/>
      <c r="S23" s="18"/>
      <c r="T23" s="18"/>
      <c r="U23" s="18"/>
      <c r="V23" s="18"/>
      <c r="W23" s="18"/>
    </row>
    <row r="24" spans="2:33">
      <c r="B24" s="18"/>
      <c r="C24" s="36" t="s">
        <v>30</v>
      </c>
      <c r="D24" s="36"/>
      <c r="E24" s="37"/>
      <c r="F24" s="37"/>
      <c r="G24" s="37"/>
      <c r="H24" s="21"/>
      <c r="Q24" s="18"/>
      <c r="R24" s="36" t="s">
        <v>30</v>
      </c>
      <c r="S24" s="36"/>
      <c r="T24" s="37"/>
      <c r="U24" s="37"/>
      <c r="V24" s="37"/>
      <c r="W24" s="21"/>
    </row>
    <row r="25" spans="2:33">
      <c r="B25" s="18"/>
      <c r="C25" s="19" t="s">
        <v>31</v>
      </c>
      <c r="D25" s="19"/>
      <c r="E25" s="21"/>
      <c r="F25" s="21"/>
      <c r="G25" s="21"/>
      <c r="H25" s="21"/>
      <c r="I25" s="12"/>
      <c r="Q25" s="18"/>
      <c r="R25" s="19" t="s">
        <v>31</v>
      </c>
      <c r="S25" s="19"/>
      <c r="T25" s="21"/>
      <c r="U25" s="21"/>
      <c r="V25" s="21"/>
      <c r="W25" s="21"/>
      <c r="X25" s="12"/>
    </row>
    <row r="26" spans="2:33">
      <c r="B26" s="18"/>
      <c r="C26" s="22" t="s">
        <v>32</v>
      </c>
      <c r="D26" s="23"/>
      <c r="E26" s="24">
        <f>T26</f>
        <v>333000</v>
      </c>
      <c r="F26" s="24"/>
      <c r="G26" s="24">
        <f>V26</f>
        <v>263000</v>
      </c>
      <c r="H26" s="21"/>
      <c r="Q26" s="18"/>
      <c r="R26" s="22" t="s">
        <v>32</v>
      </c>
      <c r="S26" s="23"/>
      <c r="T26" s="24">
        <f>270000+AA12</f>
        <v>333000</v>
      </c>
      <c r="U26" s="24"/>
      <c r="V26" s="24">
        <f>200000+AA12</f>
        <v>263000</v>
      </c>
      <c r="W26" s="21"/>
    </row>
    <row r="27" spans="2:33" ht="15">
      <c r="B27" s="18"/>
      <c r="C27" s="22" t="s">
        <v>112</v>
      </c>
      <c r="D27" s="23"/>
      <c r="E27" s="30">
        <f>T27</f>
        <v>83000</v>
      </c>
      <c r="F27" s="30"/>
      <c r="G27" s="30">
        <f>V27</f>
        <v>113000</v>
      </c>
      <c r="H27" s="21"/>
      <c r="Q27" s="18"/>
      <c r="R27" s="22" t="s">
        <v>80</v>
      </c>
      <c r="S27" s="23"/>
      <c r="T27" s="30">
        <f>20000+AA12</f>
        <v>83000</v>
      </c>
      <c r="U27" s="30"/>
      <c r="V27" s="30">
        <f>50000+AA12</f>
        <v>113000</v>
      </c>
      <c r="W27" s="21"/>
    </row>
    <row r="28" spans="2:33">
      <c r="B28" s="18"/>
      <c r="C28" s="23" t="s">
        <v>33</v>
      </c>
      <c r="D28" s="23"/>
      <c r="E28" s="24">
        <f>SUM(E26:E27)</f>
        <v>416000</v>
      </c>
      <c r="F28" s="38"/>
      <c r="G28" s="24">
        <f>SUM(G26:G27)</f>
        <v>376000</v>
      </c>
      <c r="H28" s="21"/>
      <c r="Q28" s="18"/>
      <c r="R28" s="23" t="s">
        <v>33</v>
      </c>
      <c r="S28" s="23"/>
      <c r="T28" s="24">
        <f>SUM(T26:T27)</f>
        <v>416000</v>
      </c>
      <c r="U28" s="38"/>
      <c r="V28" s="24">
        <f>SUM(V26:V27)</f>
        <v>376000</v>
      </c>
      <c r="W28" s="21"/>
    </row>
    <row r="29" spans="2:33">
      <c r="B29" s="18"/>
      <c r="C29" s="19" t="s">
        <v>34</v>
      </c>
      <c r="D29" s="19"/>
      <c r="E29" s="38"/>
      <c r="F29" s="38"/>
      <c r="G29" s="38"/>
      <c r="H29" s="21"/>
      <c r="Q29" s="18"/>
      <c r="R29" s="19" t="s">
        <v>34</v>
      </c>
      <c r="S29" s="19"/>
      <c r="T29" s="38"/>
      <c r="U29" s="38"/>
      <c r="V29" s="38"/>
      <c r="W29" s="21"/>
    </row>
    <row r="30" spans="2:33" ht="15">
      <c r="B30" s="18"/>
      <c r="C30" s="22" t="s">
        <v>35</v>
      </c>
      <c r="D30" s="23"/>
      <c r="E30" s="30">
        <f>T30</f>
        <v>963000</v>
      </c>
      <c r="F30" s="30"/>
      <c r="G30" s="30">
        <f>V30</f>
        <v>1863000</v>
      </c>
      <c r="H30" s="21"/>
      <c r="Q30" s="18"/>
      <c r="R30" s="22" t="s">
        <v>35</v>
      </c>
      <c r="S30" s="23"/>
      <c r="T30" s="30">
        <f>900000+AA12</f>
        <v>963000</v>
      </c>
      <c r="U30" s="30"/>
      <c r="V30" s="30">
        <f>1800000+AA12</f>
        <v>1863000</v>
      </c>
      <c r="W30" s="21"/>
    </row>
    <row r="31" spans="2:33" ht="12.75" customHeight="1">
      <c r="B31" s="18"/>
      <c r="C31" s="33" t="s">
        <v>36</v>
      </c>
      <c r="D31" s="34"/>
      <c r="E31" s="27">
        <f>SUM(E28:E30)</f>
        <v>1379000</v>
      </c>
      <c r="F31" s="38"/>
      <c r="G31" s="27">
        <f>SUM(G28:G30)</f>
        <v>2239000</v>
      </c>
      <c r="H31" s="21"/>
      <c r="Q31" s="18"/>
      <c r="R31" s="33" t="s">
        <v>36</v>
      </c>
      <c r="S31" s="34"/>
      <c r="T31" s="27">
        <f>SUM(T28:T30)</f>
        <v>1379000</v>
      </c>
      <c r="U31" s="38"/>
      <c r="V31" s="27">
        <f>SUM(V28:V30)</f>
        <v>2239000</v>
      </c>
      <c r="W31" s="21"/>
    </row>
    <row r="32" spans="2:33" ht="12.75" customHeight="1">
      <c r="B32" s="18"/>
      <c r="C32" s="34"/>
      <c r="D32" s="34"/>
      <c r="E32" s="38"/>
      <c r="F32" s="38"/>
      <c r="G32" s="38"/>
      <c r="H32" s="21"/>
      <c r="Q32" s="18"/>
      <c r="R32" s="34"/>
      <c r="S32" s="34"/>
      <c r="T32" s="38"/>
      <c r="U32" s="38"/>
      <c r="V32" s="38"/>
      <c r="W32" s="21"/>
    </row>
    <row r="33" spans="2:25" ht="12.75" customHeight="1">
      <c r="B33" s="18"/>
      <c r="C33" s="36" t="s">
        <v>37</v>
      </c>
      <c r="D33" s="36"/>
      <c r="E33" s="39"/>
      <c r="F33" s="39"/>
      <c r="G33" s="39"/>
      <c r="H33" s="21"/>
      <c r="Q33" s="18"/>
      <c r="R33" s="36" t="s">
        <v>37</v>
      </c>
      <c r="S33" s="36"/>
      <c r="T33" s="39"/>
      <c r="U33" s="39"/>
      <c r="V33" s="39"/>
      <c r="W33" s="21"/>
    </row>
    <row r="34" spans="2:25" ht="12.75" customHeight="1">
      <c r="B34" s="18"/>
      <c r="C34" s="22" t="s">
        <v>95</v>
      </c>
      <c r="D34" s="34"/>
      <c r="E34" s="24">
        <f>T34</f>
        <v>363000</v>
      </c>
      <c r="F34" s="38"/>
      <c r="G34" s="24">
        <f>V34</f>
        <v>63000</v>
      </c>
      <c r="H34" s="21"/>
      <c r="Q34" s="18"/>
      <c r="R34" s="22" t="s">
        <v>95</v>
      </c>
      <c r="S34" s="34"/>
      <c r="T34" s="24">
        <f>300000+AA12</f>
        <v>363000</v>
      </c>
      <c r="U34" s="38"/>
      <c r="V34" s="24">
        <f>0+AA12</f>
        <v>63000</v>
      </c>
      <c r="W34" s="21"/>
    </row>
    <row r="35" spans="2:25" ht="12.75" customHeight="1">
      <c r="B35" s="18"/>
      <c r="C35" s="22" t="s">
        <v>38</v>
      </c>
      <c r="D35" s="23"/>
      <c r="E35" s="23">
        <f>T35</f>
        <v>973000</v>
      </c>
      <c r="F35" s="24"/>
      <c r="G35" s="23">
        <f>V35</f>
        <v>963000</v>
      </c>
      <c r="H35" s="21"/>
      <c r="Q35" s="18"/>
      <c r="R35" s="22" t="s">
        <v>38</v>
      </c>
      <c r="S35" s="23"/>
      <c r="T35" s="23">
        <f>910000+AA12</f>
        <v>973000</v>
      </c>
      <c r="U35" s="24"/>
      <c r="V35" s="23">
        <f>900000+AA12</f>
        <v>963000</v>
      </c>
      <c r="W35" s="21"/>
    </row>
    <row r="36" spans="2:25" ht="12.75" customHeight="1">
      <c r="B36" s="18"/>
      <c r="C36" s="22" t="s">
        <v>113</v>
      </c>
      <c r="D36" s="23"/>
      <c r="E36" s="23">
        <f>T36</f>
        <v>433000</v>
      </c>
      <c r="F36" s="24"/>
      <c r="G36" s="23">
        <f>V36</f>
        <v>363000</v>
      </c>
      <c r="H36" s="21"/>
      <c r="I36" s="12"/>
      <c r="Q36" s="18"/>
      <c r="R36" s="22" t="s">
        <v>39</v>
      </c>
      <c r="S36" s="23"/>
      <c r="T36" s="23">
        <f>370000+AA12</f>
        <v>433000</v>
      </c>
      <c r="U36" s="24"/>
      <c r="V36" s="23">
        <f>300000+AA12</f>
        <v>363000</v>
      </c>
      <c r="W36" s="21"/>
      <c r="X36" s="12"/>
    </row>
    <row r="37" spans="2:25" ht="12.75" customHeight="1">
      <c r="B37" s="18"/>
      <c r="C37" s="22" t="s">
        <v>14</v>
      </c>
      <c r="D37" s="23"/>
      <c r="E37" s="30">
        <f>T37</f>
        <v>1393000</v>
      </c>
      <c r="F37" s="30"/>
      <c r="G37" s="30">
        <f>V37</f>
        <v>443000</v>
      </c>
      <c r="H37" s="21"/>
      <c r="Q37" s="18"/>
      <c r="R37" s="22" t="s">
        <v>14</v>
      </c>
      <c r="S37" s="23"/>
      <c r="T37" s="30">
        <f>1330000+AA12</f>
        <v>1393000</v>
      </c>
      <c r="U37" s="30"/>
      <c r="V37" s="30">
        <f>380000+AA12</f>
        <v>443000</v>
      </c>
      <c r="W37" s="21"/>
    </row>
    <row r="38" spans="2:25" ht="15">
      <c r="B38" s="18"/>
      <c r="C38" s="33" t="s">
        <v>15</v>
      </c>
      <c r="D38" s="34"/>
      <c r="E38" s="27">
        <f>SUM(E34:E37)</f>
        <v>3162000</v>
      </c>
      <c r="F38" s="24"/>
      <c r="G38" s="27">
        <f>SUM(G34:G37)</f>
        <v>1832000</v>
      </c>
      <c r="H38" s="21"/>
      <c r="Q38" s="18"/>
      <c r="R38" s="33" t="s">
        <v>15</v>
      </c>
      <c r="S38" s="34"/>
      <c r="T38" s="27">
        <f>SUM(T34:T37)</f>
        <v>3162000</v>
      </c>
      <c r="U38" s="24"/>
      <c r="V38" s="27">
        <f>SUM(V34:V37)</f>
        <v>1832000</v>
      </c>
      <c r="W38" s="21"/>
    </row>
    <row r="39" spans="2:25" ht="15">
      <c r="B39" s="18"/>
      <c r="C39" s="23" t="s">
        <v>40</v>
      </c>
      <c r="D39" s="34"/>
      <c r="E39" s="35">
        <f>E31+E38</f>
        <v>4541000</v>
      </c>
      <c r="F39" s="21"/>
      <c r="G39" s="35">
        <f>G31+G38</f>
        <v>4071000</v>
      </c>
      <c r="H39" s="21"/>
      <c r="I39" s="29"/>
      <c r="J39" s="29"/>
      <c r="K39" s="29"/>
      <c r="L39" s="29"/>
      <c r="M39" s="29"/>
      <c r="N39" s="29"/>
      <c r="Q39" s="18"/>
      <c r="R39" s="23" t="s">
        <v>40</v>
      </c>
      <c r="S39" s="34"/>
      <c r="T39" s="35">
        <f>T31+T38</f>
        <v>4541000</v>
      </c>
      <c r="U39" s="21"/>
      <c r="V39" s="35">
        <f>V31+V38</f>
        <v>4071000</v>
      </c>
      <c r="W39" s="21"/>
      <c r="X39" s="29"/>
      <c r="Y39" s="29"/>
    </row>
    <row r="40" spans="2:25" ht="15">
      <c r="B40" s="18"/>
      <c r="C40" s="18"/>
      <c r="D40" s="18"/>
      <c r="E40" s="18"/>
      <c r="F40" s="18"/>
      <c r="G40" s="35"/>
      <c r="H40" s="21"/>
      <c r="Q40" s="18"/>
      <c r="R40" s="18"/>
      <c r="S40" s="18"/>
      <c r="T40" s="18"/>
      <c r="U40" s="18"/>
      <c r="V40" s="35"/>
      <c r="W40" s="21"/>
    </row>
    <row r="41" spans="2:25">
      <c r="B41" s="40"/>
      <c r="C41" s="40"/>
      <c r="D41" s="40"/>
      <c r="E41" s="40"/>
      <c r="F41" s="40"/>
      <c r="G41" s="40"/>
      <c r="H41" s="40"/>
      <c r="Q41" s="40"/>
      <c r="R41" s="40"/>
      <c r="S41" s="40"/>
      <c r="T41" s="40"/>
      <c r="U41" s="40"/>
      <c r="V41" s="40"/>
      <c r="W41" s="40"/>
    </row>
    <row r="42" spans="2:25">
      <c r="C42" s="12"/>
      <c r="E42" s="12"/>
      <c r="G42" s="12"/>
      <c r="R42" s="12"/>
      <c r="T42" s="12"/>
      <c r="V42" s="12"/>
    </row>
    <row r="43" spans="2:25">
      <c r="C43" s="12"/>
      <c r="E43" s="12"/>
      <c r="R43" s="12"/>
      <c r="T43" s="12"/>
    </row>
    <row r="44" spans="2:25">
      <c r="B44" s="162" t="s">
        <v>62</v>
      </c>
      <c r="C44" s="162"/>
      <c r="D44" s="162"/>
      <c r="E44" s="162"/>
      <c r="F44" s="162"/>
      <c r="G44" s="162"/>
      <c r="Q44" s="162" t="s">
        <v>62</v>
      </c>
      <c r="R44" s="162"/>
      <c r="S44" s="162"/>
      <c r="T44" s="162"/>
      <c r="U44" s="162"/>
      <c r="V44" s="162"/>
    </row>
    <row r="45" spans="2:25">
      <c r="B45" s="162" t="s">
        <v>10</v>
      </c>
      <c r="C45" s="162"/>
      <c r="D45" s="162"/>
      <c r="E45" s="162"/>
      <c r="F45" s="162"/>
      <c r="G45" s="162"/>
      <c r="Q45" s="162" t="s">
        <v>10</v>
      </c>
      <c r="R45" s="162"/>
      <c r="S45" s="162"/>
      <c r="T45" s="162"/>
      <c r="U45" s="162"/>
      <c r="V45" s="162"/>
    </row>
    <row r="46" spans="2:25">
      <c r="B46" s="162" t="s">
        <v>63</v>
      </c>
      <c r="C46" s="162"/>
      <c r="D46" s="162"/>
      <c r="E46" s="162"/>
      <c r="F46" s="162"/>
      <c r="G46" s="162"/>
      <c r="Q46" s="162" t="s">
        <v>63</v>
      </c>
      <c r="R46" s="162"/>
      <c r="S46" s="162"/>
      <c r="T46" s="162"/>
      <c r="U46" s="162"/>
      <c r="V46" s="162"/>
    </row>
    <row r="47" spans="2:25" ht="6.75" customHeight="1">
      <c r="B47" s="13"/>
      <c r="C47" s="13"/>
      <c r="D47" s="13"/>
      <c r="E47" s="13"/>
      <c r="F47" s="13"/>
      <c r="G47" s="13"/>
      <c r="Q47" s="13"/>
      <c r="R47" s="13"/>
      <c r="S47" s="13"/>
      <c r="T47" s="13"/>
      <c r="U47" s="13"/>
      <c r="V47" s="13"/>
    </row>
    <row r="48" spans="2:25">
      <c r="B48" s="41"/>
      <c r="C48" s="41"/>
      <c r="D48" s="41"/>
      <c r="E48" s="42"/>
      <c r="F48" s="42"/>
      <c r="G48" s="41"/>
      <c r="Q48" s="41"/>
      <c r="R48" s="41"/>
      <c r="S48" s="41"/>
      <c r="T48" s="42"/>
      <c r="U48" s="42"/>
      <c r="V48" s="41"/>
    </row>
    <row r="49" spans="2:25">
      <c r="B49" s="18"/>
      <c r="C49" s="43" t="s">
        <v>11</v>
      </c>
      <c r="D49" s="23"/>
      <c r="E49" s="24"/>
      <c r="F49" s="44"/>
      <c r="G49" s="24">
        <f>V49</f>
        <v>3313000</v>
      </c>
      <c r="Q49" s="18"/>
      <c r="R49" s="43" t="s">
        <v>11</v>
      </c>
      <c r="S49" s="23"/>
      <c r="T49" s="24"/>
      <c r="U49" s="44"/>
      <c r="V49" s="24">
        <f>3250000+AA12</f>
        <v>3313000</v>
      </c>
    </row>
    <row r="50" spans="2:25" ht="15">
      <c r="B50" s="18"/>
      <c r="C50" s="43" t="s">
        <v>8</v>
      </c>
      <c r="D50" s="23"/>
      <c r="E50" s="33"/>
      <c r="F50" s="44"/>
      <c r="G50" s="30">
        <f>V50</f>
        <v>1223000</v>
      </c>
      <c r="Q50" s="18"/>
      <c r="R50" s="43" t="s">
        <v>8</v>
      </c>
      <c r="S50" s="23"/>
      <c r="T50" s="33"/>
      <c r="U50" s="44"/>
      <c r="V50" s="30">
        <f>1160000+AA12</f>
        <v>1223000</v>
      </c>
    </row>
    <row r="51" spans="2:25">
      <c r="B51" s="18"/>
      <c r="C51" s="43" t="s">
        <v>13</v>
      </c>
      <c r="D51" s="23"/>
      <c r="E51" s="33"/>
      <c r="F51" s="44"/>
      <c r="G51" s="24">
        <f>G49-G50</f>
        <v>2090000</v>
      </c>
      <c r="Q51" s="18"/>
      <c r="R51" s="43" t="s">
        <v>13</v>
      </c>
      <c r="S51" s="23"/>
      <c r="T51" s="33"/>
      <c r="U51" s="44"/>
      <c r="V51" s="24">
        <f>V49-V50</f>
        <v>2090000</v>
      </c>
    </row>
    <row r="52" spans="2:25">
      <c r="B52" s="18"/>
      <c r="C52" s="43" t="s">
        <v>41</v>
      </c>
      <c r="D52" s="23"/>
      <c r="E52" s="33"/>
      <c r="F52" s="33"/>
      <c r="G52" s="21"/>
      <c r="Q52" s="18"/>
      <c r="R52" s="43" t="s">
        <v>41</v>
      </c>
      <c r="S52" s="23"/>
      <c r="T52" s="33"/>
      <c r="U52" s="33"/>
      <c r="V52" s="21"/>
    </row>
    <row r="53" spans="2:25">
      <c r="B53" s="18"/>
      <c r="C53" s="45" t="s">
        <v>12</v>
      </c>
      <c r="D53" s="24"/>
      <c r="E53" s="24">
        <v>450000</v>
      </c>
      <c r="F53" s="33"/>
      <c r="G53" s="21"/>
      <c r="J53" s="46"/>
      <c r="K53" s="46"/>
      <c r="L53" s="46"/>
      <c r="M53" s="46"/>
      <c r="Q53" s="18"/>
      <c r="R53" s="45" t="s">
        <v>12</v>
      </c>
      <c r="S53" s="24"/>
      <c r="T53" s="24">
        <v>450000</v>
      </c>
      <c r="U53" s="33"/>
      <c r="V53" s="21"/>
      <c r="Y53" s="46"/>
    </row>
    <row r="54" spans="2:25" ht="15">
      <c r="B54" s="18"/>
      <c r="C54" s="45" t="s">
        <v>42</v>
      </c>
      <c r="D54" s="30"/>
      <c r="E54" s="33">
        <v>100000</v>
      </c>
      <c r="F54" s="33"/>
      <c r="G54" s="21"/>
      <c r="J54" s="46"/>
      <c r="K54" s="46"/>
      <c r="L54" s="46"/>
      <c r="M54" s="46"/>
      <c r="Q54" s="18"/>
      <c r="R54" s="45" t="s">
        <v>42</v>
      </c>
      <c r="S54" s="30"/>
      <c r="T54" s="33">
        <v>100000</v>
      </c>
      <c r="U54" s="33"/>
      <c r="V54" s="21"/>
      <c r="Y54" s="46"/>
    </row>
    <row r="55" spans="2:25" ht="15">
      <c r="B55" s="18"/>
      <c r="C55" s="45" t="s">
        <v>43</v>
      </c>
      <c r="D55" s="23"/>
      <c r="E55" s="33">
        <v>120000</v>
      </c>
      <c r="F55" s="30"/>
      <c r="G55" s="21"/>
      <c r="Q55" s="18"/>
      <c r="R55" s="45" t="s">
        <v>43</v>
      </c>
      <c r="S55" s="23"/>
      <c r="T55" s="33">
        <v>120000</v>
      </c>
      <c r="U55" s="30"/>
      <c r="V55" s="21"/>
    </row>
    <row r="56" spans="2:25" ht="15">
      <c r="B56" s="18"/>
      <c r="C56" s="45" t="s">
        <v>69</v>
      </c>
      <c r="D56" s="23"/>
      <c r="E56" s="33">
        <v>270000</v>
      </c>
      <c r="F56" s="35"/>
      <c r="G56" s="21"/>
      <c r="Q56" s="18"/>
      <c r="R56" s="45" t="s">
        <v>69</v>
      </c>
      <c r="S56" s="23"/>
      <c r="T56" s="33">
        <v>270000</v>
      </c>
      <c r="U56" s="35"/>
      <c r="V56" s="21"/>
    </row>
    <row r="57" spans="2:25" ht="15">
      <c r="B57" s="18"/>
      <c r="C57" s="45" t="s">
        <v>82</v>
      </c>
      <c r="D57" s="23"/>
      <c r="E57" s="30">
        <v>-150000</v>
      </c>
      <c r="F57" s="44"/>
      <c r="G57" s="30">
        <f>SUM(E53:E57)</f>
        <v>790000</v>
      </c>
      <c r="Q57" s="18"/>
      <c r="R57" s="45" t="s">
        <v>82</v>
      </c>
      <c r="S57" s="23"/>
      <c r="T57" s="30">
        <v>-150000</v>
      </c>
      <c r="U57" s="44"/>
      <c r="V57" s="30">
        <f>SUM(T53:T57)</f>
        <v>790000</v>
      </c>
    </row>
    <row r="58" spans="2:25">
      <c r="B58" s="18"/>
      <c r="C58" s="43" t="s">
        <v>44</v>
      </c>
      <c r="D58" s="24"/>
      <c r="E58" s="33"/>
      <c r="F58" s="44"/>
      <c r="G58" s="24">
        <f>G51-G57</f>
        <v>1300000</v>
      </c>
      <c r="Q58" s="18"/>
      <c r="R58" s="43" t="s">
        <v>44</v>
      </c>
      <c r="S58" s="24"/>
      <c r="T58" s="33"/>
      <c r="U58" s="44"/>
      <c r="V58" s="24">
        <f>V51-V57</f>
        <v>1300000</v>
      </c>
    </row>
    <row r="59" spans="2:25" ht="15">
      <c r="B59" s="18"/>
      <c r="C59" s="43" t="s">
        <v>45</v>
      </c>
      <c r="D59" s="30"/>
      <c r="E59" s="30"/>
      <c r="F59" s="44"/>
      <c r="G59" s="30">
        <v>300000</v>
      </c>
      <c r="Q59" s="18"/>
      <c r="R59" s="43" t="s">
        <v>45</v>
      </c>
      <c r="S59" s="30"/>
      <c r="T59" s="30"/>
      <c r="U59" s="44"/>
      <c r="V59" s="30">
        <v>300000</v>
      </c>
    </row>
    <row r="60" spans="2:25" ht="15">
      <c r="B60" s="18"/>
      <c r="C60" s="43" t="s">
        <v>9</v>
      </c>
      <c r="D60" s="23"/>
      <c r="E60" s="35"/>
      <c r="F60" s="44"/>
      <c r="G60" s="35">
        <f>G58-G59</f>
        <v>1000000</v>
      </c>
      <c r="Q60" s="18"/>
      <c r="R60" s="43" t="s">
        <v>9</v>
      </c>
      <c r="S60" s="23"/>
      <c r="T60" s="35"/>
      <c r="U60" s="44"/>
      <c r="V60" s="35">
        <f>V58-V59</f>
        <v>1000000</v>
      </c>
    </row>
    <row r="61" spans="2:25">
      <c r="B61" s="18"/>
      <c r="C61" s="18"/>
      <c r="D61" s="18"/>
      <c r="E61" s="18"/>
      <c r="F61" s="47"/>
      <c r="G61" s="18"/>
      <c r="Q61" s="18"/>
      <c r="R61" s="18"/>
      <c r="S61" s="18"/>
      <c r="T61" s="18"/>
      <c r="U61" s="47"/>
      <c r="V61" s="18"/>
    </row>
    <row r="62" spans="2:25">
      <c r="B62" s="40"/>
      <c r="C62" s="40"/>
      <c r="D62" s="40"/>
      <c r="E62" s="40"/>
      <c r="F62" s="40"/>
      <c r="G62" s="40"/>
      <c r="Q62" s="40"/>
      <c r="R62" s="40"/>
      <c r="S62" s="40"/>
      <c r="T62" s="40"/>
      <c r="U62" s="40"/>
      <c r="V62" s="40"/>
    </row>
    <row r="63" spans="2:25"/>
    <row r="64" spans="2:25" ht="12" customHeight="1">
      <c r="B64" s="158" t="s">
        <v>102</v>
      </c>
      <c r="C64" s="158"/>
      <c r="D64" s="158"/>
      <c r="E64" s="158"/>
      <c r="F64" s="158"/>
      <c r="G64" s="158"/>
      <c r="Q64" s="158" t="s">
        <v>102</v>
      </c>
      <c r="R64" s="158"/>
      <c r="S64" s="158"/>
      <c r="T64" s="158"/>
      <c r="U64" s="158"/>
      <c r="V64" s="158"/>
    </row>
    <row r="65" spans="1:25">
      <c r="B65" s="41"/>
      <c r="C65" s="41"/>
      <c r="D65" s="41"/>
      <c r="E65" s="42"/>
      <c r="F65" s="42"/>
      <c r="G65" s="41"/>
      <c r="Q65" s="41"/>
      <c r="R65" s="41"/>
      <c r="S65" s="41"/>
      <c r="T65" s="42"/>
      <c r="U65" s="42"/>
      <c r="V65" s="41"/>
    </row>
    <row r="66" spans="1:25">
      <c r="B66" s="41"/>
      <c r="C66" s="41" t="s">
        <v>103</v>
      </c>
      <c r="D66" s="41"/>
      <c r="E66" s="42"/>
      <c r="F66" s="42"/>
      <c r="G66" s="41"/>
      <c r="Q66" s="41"/>
      <c r="R66" s="41" t="s">
        <v>103</v>
      </c>
      <c r="S66" s="41"/>
      <c r="T66" s="42"/>
      <c r="U66" s="42"/>
      <c r="V66" s="41"/>
    </row>
    <row r="67" spans="1:25">
      <c r="B67" s="41"/>
      <c r="C67" s="41" t="s">
        <v>104</v>
      </c>
      <c r="D67" s="41"/>
      <c r="E67" s="42"/>
      <c r="F67" s="42"/>
      <c r="G67" s="41"/>
      <c r="Q67" s="41"/>
      <c r="R67" s="41" t="s">
        <v>104</v>
      </c>
      <c r="S67" s="41"/>
      <c r="T67" s="42"/>
      <c r="U67" s="42"/>
      <c r="V67" s="41"/>
    </row>
    <row r="68" spans="1:25">
      <c r="B68" s="41"/>
      <c r="C68" s="41" t="s">
        <v>108</v>
      </c>
      <c r="D68" s="41"/>
      <c r="E68" s="42"/>
      <c r="F68" s="42"/>
      <c r="G68" s="41"/>
      <c r="Q68" s="41"/>
      <c r="R68" s="41" t="s">
        <v>108</v>
      </c>
      <c r="S68" s="41"/>
      <c r="T68" s="42"/>
      <c r="U68" s="42"/>
      <c r="V68" s="41"/>
    </row>
    <row r="69" spans="1:25">
      <c r="B69" s="41"/>
      <c r="C69" s="41" t="s">
        <v>107</v>
      </c>
      <c r="D69" s="41"/>
      <c r="E69" s="42"/>
      <c r="F69" s="42"/>
      <c r="G69" s="41"/>
      <c r="Q69" s="41"/>
      <c r="R69" s="41" t="s">
        <v>107</v>
      </c>
      <c r="S69" s="41"/>
      <c r="T69" s="42"/>
      <c r="U69" s="42"/>
      <c r="V69" s="41"/>
    </row>
    <row r="70" spans="1:25">
      <c r="B70" s="41"/>
      <c r="C70" s="41"/>
      <c r="D70" s="41"/>
      <c r="E70" s="42"/>
      <c r="F70" s="42"/>
      <c r="G70" s="41"/>
      <c r="Q70" s="41"/>
      <c r="R70" s="41"/>
      <c r="S70" s="41"/>
      <c r="T70" s="42"/>
      <c r="U70" s="42"/>
      <c r="V70" s="41"/>
    </row>
    <row r="71" spans="1:25"/>
    <row r="72" spans="1:25">
      <c r="A72" s="48" t="s">
        <v>5</v>
      </c>
      <c r="B72" s="165" t="str">
        <f>Q72</f>
        <v>Using the information provided prepare the statement of cash flows under the direct method</v>
      </c>
      <c r="C72" s="165"/>
      <c r="D72" s="165"/>
      <c r="E72" s="165"/>
      <c r="F72" s="165"/>
      <c r="G72" s="165"/>
      <c r="H72" s="165"/>
      <c r="I72" s="165"/>
      <c r="J72" s="49"/>
      <c r="K72" s="49"/>
      <c r="L72" s="49"/>
      <c r="M72" s="49"/>
      <c r="N72" s="49"/>
      <c r="P72" s="48" t="s">
        <v>5</v>
      </c>
      <c r="Q72" s="159" t="s">
        <v>64</v>
      </c>
      <c r="R72" s="159"/>
      <c r="S72" s="159"/>
      <c r="T72" s="159"/>
      <c r="U72" s="159"/>
      <c r="V72" s="159"/>
      <c r="W72" s="159"/>
      <c r="X72" s="159"/>
      <c r="Y72" s="49"/>
    </row>
    <row r="73" spans="1:25"/>
    <row r="74" spans="1:25">
      <c r="B74" s="158" t="s">
        <v>62</v>
      </c>
      <c r="C74" s="158"/>
      <c r="D74" s="158"/>
      <c r="E74" s="158"/>
      <c r="F74" s="158"/>
      <c r="G74" s="158"/>
      <c r="Q74" s="158" t="s">
        <v>62</v>
      </c>
      <c r="R74" s="158"/>
      <c r="S74" s="158"/>
      <c r="T74" s="158"/>
      <c r="U74" s="158"/>
      <c r="V74" s="158"/>
    </row>
    <row r="75" spans="1:25">
      <c r="B75" s="158" t="s">
        <v>65</v>
      </c>
      <c r="C75" s="158"/>
      <c r="D75" s="158"/>
      <c r="E75" s="158"/>
      <c r="F75" s="158"/>
      <c r="G75" s="158"/>
      <c r="Q75" s="158" t="s">
        <v>65</v>
      </c>
      <c r="R75" s="158"/>
      <c r="S75" s="158"/>
      <c r="T75" s="158"/>
      <c r="U75" s="158"/>
      <c r="V75" s="158"/>
    </row>
    <row r="76" spans="1:25">
      <c r="B76" s="158" t="s">
        <v>63</v>
      </c>
      <c r="C76" s="158"/>
      <c r="D76" s="158"/>
      <c r="E76" s="158"/>
      <c r="F76" s="158"/>
      <c r="G76" s="158"/>
      <c r="Q76" s="158" t="s">
        <v>63</v>
      </c>
      <c r="R76" s="158"/>
      <c r="S76" s="158"/>
      <c r="T76" s="158"/>
      <c r="U76" s="158"/>
      <c r="V76" s="158"/>
    </row>
    <row r="77" spans="1:25" ht="6.75" customHeight="1">
      <c r="B77" s="13"/>
      <c r="C77" s="13"/>
      <c r="D77" s="13"/>
      <c r="E77" s="13"/>
      <c r="F77" s="13"/>
      <c r="G77" s="50"/>
      <c r="Q77" s="13"/>
      <c r="R77" s="13"/>
      <c r="S77" s="13"/>
      <c r="T77" s="13"/>
      <c r="U77" s="13"/>
      <c r="V77" s="50"/>
    </row>
    <row r="78" spans="1:25">
      <c r="B78" s="51"/>
      <c r="C78" s="52" t="s">
        <v>52</v>
      </c>
      <c r="D78" s="53"/>
      <c r="E78" s="53"/>
      <c r="F78" s="21"/>
      <c r="G78" s="44"/>
      <c r="N78" s="133" t="str">
        <f>R$79</f>
        <v>Cash received from customers</v>
      </c>
      <c r="O78" s="55">
        <f>$T$96</f>
        <v>-900000</v>
      </c>
      <c r="Q78" s="51"/>
      <c r="R78" s="52" t="s">
        <v>52</v>
      </c>
      <c r="S78" s="53"/>
      <c r="T78" s="53"/>
      <c r="U78" s="21"/>
      <c r="V78" s="44"/>
    </row>
    <row r="79" spans="1:25">
      <c r="B79" s="51"/>
      <c r="C79" s="129"/>
      <c r="D79" s="53"/>
      <c r="E79" s="44"/>
      <c r="F79" s="21"/>
      <c r="G79" s="129"/>
      <c r="H79" s="56"/>
      <c r="N79" s="133" t="str">
        <f>$R$81</f>
        <v>Merchandise inventory</v>
      </c>
      <c r="O79" s="55">
        <f>$T$90</f>
        <v>-150000</v>
      </c>
      <c r="Q79" s="51"/>
      <c r="R79" s="22" t="s">
        <v>67</v>
      </c>
      <c r="S79" s="53"/>
      <c r="T79" s="44"/>
      <c r="U79" s="21"/>
      <c r="V79" s="57">
        <f>V49+V12-T12</f>
        <v>3063000</v>
      </c>
      <c r="W79" s="56"/>
    </row>
    <row r="80" spans="1:25">
      <c r="B80" s="51"/>
      <c r="C80" s="22" t="s">
        <v>68</v>
      </c>
      <c r="D80" s="53"/>
      <c r="E80" s="44"/>
      <c r="F80" s="21"/>
      <c r="G80" s="57"/>
      <c r="H80" s="56"/>
      <c r="M80" s="12" t="s">
        <v>105</v>
      </c>
      <c r="N80" s="133" t="str">
        <f>$R$82</f>
        <v>Salaries</v>
      </c>
      <c r="O80" s="55">
        <f>$T$95</f>
        <v>-50000</v>
      </c>
      <c r="Q80" s="51"/>
      <c r="R80" s="22" t="s">
        <v>68</v>
      </c>
      <c r="S80" s="53"/>
      <c r="T80" s="44"/>
      <c r="U80" s="21"/>
      <c r="V80" s="57"/>
      <c r="W80" s="56"/>
    </row>
    <row r="81" spans="2:25">
      <c r="B81" s="51"/>
      <c r="C81" s="131"/>
      <c r="D81" s="44"/>
      <c r="E81" s="130"/>
      <c r="F81" s="21"/>
      <c r="G81" s="57"/>
      <c r="H81" s="56"/>
      <c r="M81" s="58" t="str">
        <f>IF(AND(C81&lt;&gt;$R$79,C81&lt;&gt;$R$89,C81&lt;&gt;$R$90,C81&lt;&gt;$R$94,C81&lt;&gt;$R$95,C81&lt;&gt;$R$96,C81&lt;&gt;$R$104),IF(C81&lt;&gt;"",VLOOKUP(C81,$X$81:$Y$85,2,FALSE),"N"),"N")</f>
        <v>N</v>
      </c>
      <c r="N81" s="133" t="str">
        <f>$R$83</f>
        <v>Interest</v>
      </c>
      <c r="O81" s="55">
        <f>$T$94</f>
        <v>80000</v>
      </c>
      <c r="Q81" s="51"/>
      <c r="R81" s="59" t="s">
        <v>71</v>
      </c>
      <c r="S81" s="44"/>
      <c r="T81" s="24">
        <f>V50+T13-V13+V26-T26</f>
        <v>1113000</v>
      </c>
      <c r="U81" s="21"/>
      <c r="V81" s="57"/>
      <c r="W81" s="56"/>
      <c r="X81" s="54" t="str">
        <f>$R$81</f>
        <v>Merchandise inventory</v>
      </c>
      <c r="Y81" s="29">
        <f>$T$81</f>
        <v>1113000</v>
      </c>
    </row>
    <row r="82" spans="2:25">
      <c r="B82" s="51"/>
      <c r="C82" s="131"/>
      <c r="D82" s="44"/>
      <c r="E82" s="130"/>
      <c r="F82" s="21"/>
      <c r="G82" s="57"/>
      <c r="H82" s="56"/>
      <c r="M82" s="58" t="str">
        <f t="shared" ref="M82:M85" si="0">IF(AND(C82&lt;&gt;$R$79,C82&lt;&gt;$R$89,C82&lt;&gt;$R$90,C82&lt;&gt;$R$94,C82&lt;&gt;$R$95,C82&lt;&gt;$R$96,C82&lt;&gt;$R$104),IF(C82&lt;&gt;"",VLOOKUP(C82,$X$81:$Y$85,2,FALSE),"N"),"N")</f>
        <v>N</v>
      </c>
      <c r="N82" s="133" t="str">
        <f>$R$84</f>
        <v>Other operating expenses</v>
      </c>
      <c r="O82" s="55">
        <f>$T$83</f>
        <v>100000</v>
      </c>
      <c r="Q82" s="51"/>
      <c r="R82" s="59" t="s">
        <v>12</v>
      </c>
      <c r="S82" s="44"/>
      <c r="T82" s="33">
        <f>T53+V27-T27</f>
        <v>480000</v>
      </c>
      <c r="U82" s="21"/>
      <c r="V82" s="57"/>
      <c r="W82" s="56"/>
      <c r="X82" s="54" t="str">
        <f>$R$82</f>
        <v>Salaries</v>
      </c>
      <c r="Y82" s="29">
        <f>$T$82</f>
        <v>480000</v>
      </c>
    </row>
    <row r="83" spans="2:25" ht="12.75" customHeight="1">
      <c r="B83" s="51"/>
      <c r="C83" s="131"/>
      <c r="D83" s="44"/>
      <c r="E83" s="130"/>
      <c r="F83" s="21"/>
      <c r="G83" s="57"/>
      <c r="H83" s="56"/>
      <c r="M83" s="58" t="str">
        <f t="shared" si="0"/>
        <v>N</v>
      </c>
      <c r="N83" s="133" t="str">
        <f>$R$85</f>
        <v>Income taxes</v>
      </c>
      <c r="O83" s="55">
        <f>$V$100</f>
        <v>233000</v>
      </c>
      <c r="Q83" s="51"/>
      <c r="R83" s="59" t="s">
        <v>42</v>
      </c>
      <c r="S83" s="44"/>
      <c r="T83" s="33">
        <f>T54</f>
        <v>100000</v>
      </c>
      <c r="U83" s="21"/>
      <c r="V83" s="57"/>
      <c r="W83" s="56"/>
      <c r="X83" s="54" t="str">
        <f>$R$83</f>
        <v>Interest</v>
      </c>
      <c r="Y83" s="29">
        <f>$T$83</f>
        <v>100000</v>
      </c>
    </row>
    <row r="84" spans="2:25" ht="12.75" customHeight="1">
      <c r="B84" s="51"/>
      <c r="C84" s="131"/>
      <c r="D84" s="44"/>
      <c r="E84" s="130"/>
      <c r="F84" s="21"/>
      <c r="G84" s="57"/>
      <c r="H84" s="56"/>
      <c r="M84" s="58" t="str">
        <f t="shared" si="0"/>
        <v>N</v>
      </c>
      <c r="N84" s="133" t="str">
        <f>$R$89</f>
        <v>Sale of land</v>
      </c>
      <c r="O84" s="55">
        <f>$T$84</f>
        <v>270000</v>
      </c>
      <c r="Q84" s="51"/>
      <c r="R84" s="59" t="s">
        <v>69</v>
      </c>
      <c r="S84" s="44"/>
      <c r="T84" s="33">
        <f>T56</f>
        <v>270000</v>
      </c>
      <c r="U84" s="21"/>
      <c r="V84" s="57"/>
      <c r="W84" s="56"/>
      <c r="X84" s="54" t="str">
        <f>$R$84</f>
        <v>Other operating expenses</v>
      </c>
      <c r="Y84" s="29">
        <f>$T$84</f>
        <v>270000</v>
      </c>
    </row>
    <row r="85" spans="2:25" ht="15">
      <c r="B85" s="51"/>
      <c r="C85" s="131"/>
      <c r="D85" s="44"/>
      <c r="E85" s="130"/>
      <c r="F85" s="21"/>
      <c r="G85" s="60">
        <f>SUM(E81:E85)*-1</f>
        <v>0</v>
      </c>
      <c r="H85" s="61"/>
      <c r="M85" s="58" t="str">
        <f t="shared" si="0"/>
        <v>N</v>
      </c>
      <c r="N85" s="133" t="str">
        <f>$R$90</f>
        <v>Purchase of equipment</v>
      </c>
      <c r="O85" s="55">
        <f>$T$85</f>
        <v>300000</v>
      </c>
      <c r="Q85" s="51"/>
      <c r="R85" s="59" t="s">
        <v>70</v>
      </c>
      <c r="S85" s="44"/>
      <c r="T85" s="30">
        <f>V59</f>
        <v>300000</v>
      </c>
      <c r="U85" s="21"/>
      <c r="V85" s="60">
        <f>SUM(T81:T85)*-1</f>
        <v>-2263000</v>
      </c>
      <c r="W85" s="61"/>
      <c r="X85" s="54" t="str">
        <f>$R$85</f>
        <v>Income taxes</v>
      </c>
      <c r="Y85" s="29">
        <f>$T$85</f>
        <v>300000</v>
      </c>
    </row>
    <row r="86" spans="2:25">
      <c r="B86" s="51"/>
      <c r="C86" s="23" t="s">
        <v>78</v>
      </c>
      <c r="D86" s="44"/>
      <c r="E86" s="24"/>
      <c r="F86" s="21"/>
      <c r="G86" s="57">
        <f>G79+G85</f>
        <v>0</v>
      </c>
      <c r="H86" s="56"/>
      <c r="N86" s="133" t="str">
        <f>$R$94</f>
        <v>Proceeds from issuing common stock</v>
      </c>
      <c r="O86" s="55">
        <f>$V$104</f>
        <v>300000</v>
      </c>
      <c r="Q86" s="51"/>
      <c r="R86" s="23" t="s">
        <v>78</v>
      </c>
      <c r="S86" s="44"/>
      <c r="T86" s="24"/>
      <c r="U86" s="21"/>
      <c r="V86" s="57">
        <f>V79+V85</f>
        <v>800000</v>
      </c>
      <c r="W86" s="56"/>
    </row>
    <row r="87" spans="2:25">
      <c r="B87" s="51"/>
      <c r="C87" s="23"/>
      <c r="D87" s="44"/>
      <c r="E87" s="24"/>
      <c r="F87" s="21"/>
      <c r="G87" s="38"/>
      <c r="H87" s="62"/>
      <c r="N87" s="133" t="str">
        <f>$R$95</f>
        <v>Dividends on common</v>
      </c>
      <c r="O87" s="55">
        <f>$T$82</f>
        <v>480000</v>
      </c>
      <c r="Q87" s="51"/>
      <c r="R87" s="23"/>
      <c r="S87" s="44"/>
      <c r="T87" s="24"/>
      <c r="U87" s="21"/>
      <c r="V87" s="38"/>
      <c r="W87" s="62"/>
    </row>
    <row r="88" spans="2:25">
      <c r="B88" s="51"/>
      <c r="C88" s="19" t="s">
        <v>53</v>
      </c>
      <c r="D88" s="44"/>
      <c r="E88" s="24"/>
      <c r="F88" s="21"/>
      <c r="G88" s="38"/>
      <c r="H88" s="62"/>
      <c r="N88" s="133" t="str">
        <f>$R$96</f>
        <v>Repayment of long-term note payable</v>
      </c>
      <c r="O88" s="55">
        <f>$V$99</f>
        <v>530000</v>
      </c>
      <c r="Q88" s="51"/>
      <c r="R88" s="19" t="s">
        <v>53</v>
      </c>
      <c r="S88" s="44"/>
      <c r="T88" s="24"/>
      <c r="U88" s="21"/>
      <c r="V88" s="38"/>
      <c r="W88" s="62"/>
    </row>
    <row r="89" spans="2:25">
      <c r="B89" s="51"/>
      <c r="C89" s="132"/>
      <c r="D89" s="44"/>
      <c r="E89" s="130"/>
      <c r="F89" s="21"/>
      <c r="G89" s="38"/>
      <c r="H89" s="62"/>
      <c r="M89" s="10" t="str">
        <f>IF(AND(C89&lt;&gt;$R$79,C89&lt;&gt;$R$81,C89&lt;&gt;$R$82,C89&lt;&gt;$R$83,C89&lt;&gt;$R$84,C89&lt;&gt;$R$85,C89&lt;&gt;$R$94,C89&lt;&gt;$R$95,C89&lt;&gt;$R$96,C89&lt;&gt;$R$104),IF(C89&lt;&gt;"",VLOOKUP(C89,$X$89:$Y$90,2,FALSE),"N"),"N")</f>
        <v>N</v>
      </c>
      <c r="N89" s="134" t="str">
        <f>$R$104</f>
        <v>Preferred Stock issued for building</v>
      </c>
      <c r="O89" s="55">
        <f>$T$89</f>
        <v>750000</v>
      </c>
      <c r="Q89" s="51"/>
      <c r="R89" s="22" t="s">
        <v>72</v>
      </c>
      <c r="S89" s="44"/>
      <c r="T89" s="24">
        <f>V16-T16-T57</f>
        <v>750000</v>
      </c>
      <c r="U89" s="21"/>
      <c r="V89" s="38"/>
      <c r="W89" s="62"/>
      <c r="X89" s="54" t="str">
        <f>$R$89</f>
        <v>Sale of land</v>
      </c>
      <c r="Y89" s="29">
        <f>$T$89</f>
        <v>750000</v>
      </c>
    </row>
    <row r="90" spans="2:25" ht="15">
      <c r="B90" s="51"/>
      <c r="C90" s="132"/>
      <c r="D90" s="44"/>
      <c r="E90" s="130"/>
      <c r="F90" s="21"/>
      <c r="G90" s="38"/>
      <c r="H90" s="62"/>
      <c r="M90" s="10" t="str">
        <f>IF(AND(C90&lt;&gt;$R$79,C90&lt;&gt;$R$81,C90&lt;&gt;$R$82,C90&lt;&gt;$R$83,C90&lt;&gt;$R$84,C90&lt;&gt;$R$85,C90&lt;&gt;$R$94,C90&lt;&gt;$R$95,C90&lt;&gt;$R$96,C90&lt;&gt;$R$104),IF(C90&lt;&gt;"",VLOOKUP(C90,$X$89:$Y$90,2,FALSE),"N"),"N")</f>
        <v>N</v>
      </c>
      <c r="O90" s="63">
        <f>$V$101</f>
        <v>763000</v>
      </c>
      <c r="Q90" s="51"/>
      <c r="R90" s="22" t="s">
        <v>73</v>
      </c>
      <c r="S90" s="44"/>
      <c r="T90" s="30">
        <f>V18-T18</f>
        <v>-150000</v>
      </c>
      <c r="U90" s="21"/>
      <c r="V90" s="38"/>
      <c r="W90" s="62"/>
      <c r="X90" s="54" t="str">
        <f>$R$90</f>
        <v>Purchase of equipment</v>
      </c>
      <c r="Y90" s="54">
        <f>$T$90</f>
        <v>-150000</v>
      </c>
    </row>
    <row r="91" spans="2:25">
      <c r="B91" s="51"/>
      <c r="C91" s="23" t="s">
        <v>77</v>
      </c>
      <c r="D91" s="44"/>
      <c r="E91" s="24"/>
      <c r="F91" s="21"/>
      <c r="G91" s="64">
        <f>SUM(E89:E90)</f>
        <v>0</v>
      </c>
      <c r="H91" s="65"/>
      <c r="O91" s="55">
        <f>$T$81</f>
        <v>1113000</v>
      </c>
      <c r="Q91" s="51"/>
      <c r="R91" s="23" t="s">
        <v>77</v>
      </c>
      <c r="S91" s="44"/>
      <c r="T91" s="24"/>
      <c r="U91" s="21"/>
      <c r="V91" s="64">
        <f>SUM(T89:T90)</f>
        <v>600000</v>
      </c>
      <c r="W91" s="65"/>
    </row>
    <row r="92" spans="2:25">
      <c r="B92" s="51"/>
      <c r="C92" s="23"/>
      <c r="D92" s="44"/>
      <c r="E92" s="24"/>
      <c r="F92" s="21"/>
      <c r="G92" s="64"/>
      <c r="H92" s="65"/>
      <c r="O92" s="55">
        <f>$V$79</f>
        <v>3063000</v>
      </c>
      <c r="Q92" s="51"/>
      <c r="R92" s="23"/>
      <c r="S92" s="44"/>
      <c r="T92" s="24"/>
      <c r="U92" s="21"/>
      <c r="V92" s="64"/>
      <c r="W92" s="65"/>
    </row>
    <row r="93" spans="2:25">
      <c r="B93" s="51"/>
      <c r="C93" s="19" t="s">
        <v>54</v>
      </c>
      <c r="D93" s="44"/>
      <c r="E93" s="24"/>
      <c r="F93" s="21"/>
      <c r="G93" s="64"/>
      <c r="H93" s="65"/>
      <c r="Q93" s="51"/>
      <c r="R93" s="19" t="s">
        <v>54</v>
      </c>
      <c r="S93" s="44"/>
      <c r="T93" s="24"/>
      <c r="U93" s="21"/>
      <c r="V93" s="64"/>
      <c r="W93" s="65"/>
    </row>
    <row r="94" spans="2:25">
      <c r="B94" s="51"/>
      <c r="C94" s="132"/>
      <c r="D94" s="44"/>
      <c r="E94" s="130"/>
      <c r="F94" s="21"/>
      <c r="G94" s="64"/>
      <c r="H94" s="65"/>
      <c r="M94" s="10" t="str">
        <f>IF(AND(C94&lt;&gt;$R$79,C94&lt;&gt;$R$81,C94&lt;&gt;$R$82,C94&lt;&gt;$R$83,C94&lt;&gt;$R$84,C94&lt;&gt;$R$85,C94&lt;&gt;$R$89,C94&lt;&gt;$R$90,C94&lt;&gt;$R$104),IF(C94&lt;&gt;"",VLOOKUP(C94,$X$94:$Y$96,2,FALSE),"N"),"N")</f>
        <v>N</v>
      </c>
      <c r="Q94" s="51"/>
      <c r="R94" s="22" t="s">
        <v>109</v>
      </c>
      <c r="S94" s="44"/>
      <c r="T94" s="66">
        <f>T35+T36-V35-V36</f>
        <v>80000</v>
      </c>
      <c r="U94" s="21"/>
      <c r="V94" s="64"/>
      <c r="W94" s="65"/>
      <c r="X94" s="54" t="str">
        <f>$R$94</f>
        <v>Proceeds from issuing common stock</v>
      </c>
      <c r="Y94" s="67">
        <f>$T$94</f>
        <v>80000</v>
      </c>
    </row>
    <row r="95" spans="2:25">
      <c r="B95" s="51"/>
      <c r="C95" s="132"/>
      <c r="D95" s="44"/>
      <c r="E95" s="130"/>
      <c r="F95" s="21"/>
      <c r="G95" s="64"/>
      <c r="H95" s="65"/>
      <c r="M95" s="10" t="str">
        <f t="shared" ref="M95:M96" si="1">IF(AND(C95&lt;&gt;$R$79,C95&lt;&gt;$R$81,C95&lt;&gt;$R$82,C95&lt;&gt;$R$83,C95&lt;&gt;$R$84,C95&lt;&gt;$R$85,C95&lt;&gt;$R$89,C95&lt;&gt;$R$90,C95&lt;&gt;$R$104),IF(C95&lt;&gt;"",VLOOKUP(C95,$X$94:$Y$96,2,FALSE),"N"),"N")</f>
        <v>N</v>
      </c>
      <c r="Q95" s="51"/>
      <c r="R95" s="22" t="s">
        <v>74</v>
      </c>
      <c r="S95" s="44"/>
      <c r="T95" s="66">
        <v>-50000</v>
      </c>
      <c r="U95" s="21"/>
      <c r="V95" s="64"/>
      <c r="W95" s="65"/>
      <c r="X95" s="54" t="str">
        <f>$R$95</f>
        <v>Dividends on common</v>
      </c>
      <c r="Y95" s="67">
        <f>$T$95</f>
        <v>-50000</v>
      </c>
    </row>
    <row r="96" spans="2:25" ht="15">
      <c r="B96" s="51"/>
      <c r="C96" s="132"/>
      <c r="D96" s="44"/>
      <c r="E96" s="130"/>
      <c r="F96" s="21"/>
      <c r="G96" s="64"/>
      <c r="H96" s="65"/>
      <c r="M96" s="10" t="str">
        <f t="shared" si="1"/>
        <v>N</v>
      </c>
      <c r="Q96" s="51"/>
      <c r="R96" s="22" t="s">
        <v>110</v>
      </c>
      <c r="S96" s="44"/>
      <c r="T96" s="30">
        <f>T30-V30</f>
        <v>-900000</v>
      </c>
      <c r="U96" s="21"/>
      <c r="V96" s="64"/>
      <c r="W96" s="65"/>
      <c r="X96" s="54" t="str">
        <f>$R$96</f>
        <v>Repayment of long-term note payable</v>
      </c>
      <c r="Y96" s="54">
        <f>$T$96</f>
        <v>-900000</v>
      </c>
    </row>
    <row r="97" spans="1:25" ht="15">
      <c r="B97" s="51"/>
      <c r="C97" s="23" t="s">
        <v>76</v>
      </c>
      <c r="D97" s="24"/>
      <c r="E97" s="44"/>
      <c r="F97" s="21"/>
      <c r="G97" s="60">
        <f>SUM(E94:E96)</f>
        <v>0</v>
      </c>
      <c r="H97" s="61"/>
      <c r="Q97" s="51"/>
      <c r="R97" s="23" t="s">
        <v>76</v>
      </c>
      <c r="S97" s="24"/>
      <c r="T97" s="44"/>
      <c r="U97" s="21"/>
      <c r="V97" s="60">
        <f>SUM(T94:T96)</f>
        <v>-870000</v>
      </c>
      <c r="W97" s="61"/>
    </row>
    <row r="98" spans="1:25" ht="7.5" customHeight="1">
      <c r="B98" s="51"/>
      <c r="C98" s="23"/>
      <c r="D98" s="24"/>
      <c r="E98" s="44"/>
      <c r="F98" s="21"/>
      <c r="G98" s="60"/>
      <c r="H98" s="61"/>
      <c r="Q98" s="51"/>
      <c r="R98" s="23"/>
      <c r="S98" s="24"/>
      <c r="T98" s="44"/>
      <c r="U98" s="21"/>
      <c r="V98" s="60"/>
      <c r="W98" s="61"/>
    </row>
    <row r="99" spans="1:25">
      <c r="B99" s="51"/>
      <c r="C99" s="19" t="s">
        <v>56</v>
      </c>
      <c r="D99" s="24"/>
      <c r="E99" s="44"/>
      <c r="F99" s="21"/>
      <c r="G99" s="129"/>
      <c r="H99" s="56"/>
      <c r="I99" s="29"/>
      <c r="Q99" s="51"/>
      <c r="R99" s="19" t="s">
        <v>56</v>
      </c>
      <c r="S99" s="24"/>
      <c r="T99" s="44"/>
      <c r="U99" s="21"/>
      <c r="V99" s="57">
        <f>V86+V91+V97</f>
        <v>530000</v>
      </c>
      <c r="W99" s="56"/>
      <c r="X99" s="29"/>
    </row>
    <row r="100" spans="1:25">
      <c r="B100" s="51"/>
      <c r="C100" s="19" t="s">
        <v>83</v>
      </c>
      <c r="D100" s="24"/>
      <c r="E100" s="44"/>
      <c r="F100" s="21"/>
      <c r="G100" s="129"/>
      <c r="H100" s="65"/>
      <c r="Q100" s="51"/>
      <c r="R100" s="19" t="s">
        <v>83</v>
      </c>
      <c r="S100" s="24"/>
      <c r="T100" s="44"/>
      <c r="U100" s="21"/>
      <c r="V100" s="64">
        <f>V11</f>
        <v>233000</v>
      </c>
      <c r="W100" s="65"/>
    </row>
    <row r="101" spans="1:25" ht="15">
      <c r="B101" s="51"/>
      <c r="C101" s="19" t="s">
        <v>84</v>
      </c>
      <c r="D101" s="24"/>
      <c r="E101" s="44"/>
      <c r="F101" s="21"/>
      <c r="G101" s="129"/>
      <c r="H101" s="68"/>
      <c r="Q101" s="51"/>
      <c r="R101" s="19" t="s">
        <v>84</v>
      </c>
      <c r="S101" s="24"/>
      <c r="T101" s="44"/>
      <c r="U101" s="21"/>
      <c r="V101" s="69">
        <f>V100+V99</f>
        <v>763000</v>
      </c>
      <c r="W101" s="68"/>
    </row>
    <row r="102" spans="1:25">
      <c r="B102" s="51"/>
      <c r="C102" s="70" t="s">
        <v>57</v>
      </c>
      <c r="D102" s="24"/>
      <c r="E102" s="44"/>
      <c r="F102" s="21"/>
      <c r="G102" s="57"/>
      <c r="H102" s="56"/>
      <c r="Q102" s="51"/>
      <c r="R102" s="70" t="s">
        <v>57</v>
      </c>
      <c r="S102" s="24"/>
      <c r="T102" s="44"/>
      <c r="U102" s="21"/>
      <c r="V102" s="57"/>
      <c r="W102" s="56"/>
    </row>
    <row r="103" spans="1:25" ht="15">
      <c r="B103" s="51"/>
      <c r="C103" s="19" t="s">
        <v>58</v>
      </c>
      <c r="D103" s="24"/>
      <c r="E103" s="44"/>
      <c r="F103" s="21"/>
      <c r="G103" s="60"/>
      <c r="H103" s="61"/>
      <c r="Q103" s="51"/>
      <c r="R103" s="19" t="s">
        <v>58</v>
      </c>
      <c r="S103" s="24"/>
      <c r="T103" s="44"/>
      <c r="U103" s="21"/>
      <c r="V103" s="60"/>
      <c r="W103" s="61"/>
    </row>
    <row r="104" spans="1:25" ht="15">
      <c r="B104" s="18"/>
      <c r="C104" s="129"/>
      <c r="D104" s="24"/>
      <c r="E104" s="44"/>
      <c r="F104" s="21"/>
      <c r="G104" s="129"/>
      <c r="H104" s="68"/>
      <c r="Q104" s="18"/>
      <c r="R104" s="71" t="s">
        <v>97</v>
      </c>
      <c r="S104" s="24"/>
      <c r="T104" s="44"/>
      <c r="U104" s="21"/>
      <c r="V104" s="69">
        <f>T34-V34</f>
        <v>300000</v>
      </c>
      <c r="W104" s="68"/>
    </row>
    <row r="105" spans="1:25" ht="15">
      <c r="B105" s="72"/>
      <c r="C105" s="73"/>
      <c r="D105" s="74"/>
      <c r="E105" s="72"/>
      <c r="F105" s="17"/>
      <c r="G105" s="44"/>
      <c r="Q105" s="72"/>
      <c r="R105" s="73"/>
      <c r="S105" s="74"/>
      <c r="T105" s="72"/>
      <c r="U105" s="17"/>
      <c r="V105" s="44"/>
    </row>
    <row r="106" spans="1:25">
      <c r="B106" s="40"/>
      <c r="C106" s="40"/>
      <c r="D106" s="40"/>
      <c r="E106" s="40"/>
      <c r="F106" s="40"/>
      <c r="G106" s="50"/>
      <c r="Q106" s="40"/>
      <c r="R106" s="40"/>
      <c r="S106" s="40"/>
      <c r="T106" s="40"/>
      <c r="U106" s="40"/>
      <c r="V106" s="50"/>
    </row>
    <row r="107" spans="1:25"/>
    <row r="108" spans="1:25" ht="28.5" customHeight="1">
      <c r="A108" s="48" t="s">
        <v>6</v>
      </c>
      <c r="B108" s="152" t="str">
        <f>Q108</f>
        <v>Assuming the same facts as above, use the worksheet to prepare the statement of cash flows under the indirect method as a check for the statement of cash flows prepared in part A.</v>
      </c>
      <c r="C108" s="152"/>
      <c r="D108" s="152"/>
      <c r="E108" s="152"/>
      <c r="F108" s="152"/>
      <c r="G108" s="152"/>
      <c r="H108" s="152"/>
      <c r="I108" s="152"/>
      <c r="J108" s="75"/>
      <c r="K108" s="75"/>
      <c r="L108" s="75"/>
      <c r="M108" s="75"/>
      <c r="N108" s="75"/>
      <c r="P108" s="48" t="s">
        <v>6</v>
      </c>
      <c r="Q108" s="152" t="s">
        <v>101</v>
      </c>
      <c r="R108" s="152"/>
      <c r="S108" s="152"/>
      <c r="T108" s="152"/>
      <c r="U108" s="152"/>
      <c r="V108" s="152"/>
      <c r="W108" s="152"/>
      <c r="X108" s="152"/>
      <c r="Y108" s="75"/>
    </row>
    <row r="109" spans="1:25"/>
    <row r="110" spans="1:25">
      <c r="B110" s="76"/>
      <c r="C110" s="77"/>
      <c r="D110" s="77"/>
      <c r="E110" s="77"/>
      <c r="F110" s="77"/>
      <c r="G110" s="77"/>
      <c r="H110" s="77"/>
      <c r="I110" s="78"/>
      <c r="J110" s="79"/>
      <c r="K110" s="79"/>
      <c r="L110" s="79"/>
      <c r="M110" s="79"/>
      <c r="N110" s="79"/>
      <c r="Q110" s="76"/>
      <c r="R110" s="77"/>
      <c r="S110" s="77"/>
      <c r="T110" s="77"/>
      <c r="U110" s="77"/>
      <c r="V110" s="77"/>
      <c r="W110" s="77"/>
      <c r="X110" s="78"/>
      <c r="Y110" s="79"/>
    </row>
    <row r="111" spans="1:25">
      <c r="B111" s="153" t="s">
        <v>62</v>
      </c>
      <c r="C111" s="154"/>
      <c r="D111" s="154"/>
      <c r="E111" s="154"/>
      <c r="F111" s="154"/>
      <c r="G111" s="154"/>
      <c r="H111" s="154"/>
      <c r="I111" s="155"/>
      <c r="J111" s="80"/>
      <c r="K111" s="80"/>
      <c r="L111" s="80"/>
      <c r="M111" s="80"/>
      <c r="N111" s="80"/>
      <c r="Q111" s="153" t="s">
        <v>62</v>
      </c>
      <c r="R111" s="154"/>
      <c r="S111" s="154"/>
      <c r="T111" s="154"/>
      <c r="U111" s="154"/>
      <c r="V111" s="154"/>
      <c r="W111" s="154"/>
      <c r="X111" s="155"/>
      <c r="Y111" s="80"/>
    </row>
    <row r="112" spans="1:25">
      <c r="B112" s="81"/>
      <c r="C112" s="82"/>
      <c r="D112" s="83" t="s">
        <v>61</v>
      </c>
      <c r="E112" s="156" t="s">
        <v>46</v>
      </c>
      <c r="F112" s="156"/>
      <c r="G112" s="156" t="s">
        <v>47</v>
      </c>
      <c r="H112" s="157"/>
      <c r="I112" s="83" t="s">
        <v>60</v>
      </c>
      <c r="J112" s="84"/>
      <c r="K112" s="84"/>
      <c r="L112" s="84"/>
      <c r="M112" s="84"/>
      <c r="N112" s="84"/>
      <c r="Q112" s="81"/>
      <c r="R112" s="82"/>
      <c r="S112" s="83" t="s">
        <v>61</v>
      </c>
      <c r="T112" s="156" t="s">
        <v>46</v>
      </c>
      <c r="U112" s="156"/>
      <c r="V112" s="156" t="s">
        <v>47</v>
      </c>
      <c r="W112" s="157"/>
      <c r="X112" s="83" t="s">
        <v>60</v>
      </c>
      <c r="Y112" s="84"/>
    </row>
    <row r="113" spans="2:25">
      <c r="B113" s="81"/>
      <c r="C113" s="85" t="s">
        <v>48</v>
      </c>
      <c r="D113" s="86"/>
      <c r="E113" s="87"/>
      <c r="F113" s="88"/>
      <c r="G113" s="89"/>
      <c r="H113" s="88"/>
      <c r="I113" s="88"/>
      <c r="J113" s="85"/>
      <c r="K113" s="85"/>
      <c r="L113" s="85"/>
      <c r="M113" s="85"/>
      <c r="N113" s="85"/>
      <c r="O113" s="55">
        <f>$V$114</f>
        <v>0</v>
      </c>
      <c r="Q113" s="81"/>
      <c r="R113" s="85" t="s">
        <v>48</v>
      </c>
      <c r="S113" s="86"/>
      <c r="T113" s="87"/>
      <c r="U113" s="88"/>
      <c r="V113" s="89"/>
      <c r="W113" s="88"/>
      <c r="X113" s="88"/>
      <c r="Y113" s="85"/>
    </row>
    <row r="114" spans="2:25">
      <c r="B114" s="81"/>
      <c r="C114" s="90" t="s">
        <v>16</v>
      </c>
      <c r="D114" s="91">
        <f>G11</f>
        <v>233000</v>
      </c>
      <c r="E114" s="145"/>
      <c r="F114" s="146"/>
      <c r="G114" s="150"/>
      <c r="H114" s="151"/>
      <c r="I114" s="92">
        <f>E11</f>
        <v>763000</v>
      </c>
      <c r="J114" s="93"/>
      <c r="K114" s="93"/>
      <c r="L114" s="93"/>
      <c r="M114" s="93"/>
      <c r="N114" s="93"/>
      <c r="O114" s="55">
        <f>$V$127</f>
        <v>10000</v>
      </c>
      <c r="Q114" s="81"/>
      <c r="R114" s="90" t="s">
        <v>16</v>
      </c>
      <c r="S114" s="91">
        <f>V11</f>
        <v>233000</v>
      </c>
      <c r="T114" s="150">
        <f>IF(X114&gt;S114,X114-S114,0)</f>
        <v>530000</v>
      </c>
      <c r="U114" s="151"/>
      <c r="V114" s="150">
        <f>IF(X114&lt;S114,S114-X114,0)</f>
        <v>0</v>
      </c>
      <c r="W114" s="151"/>
      <c r="X114" s="92">
        <f>T11</f>
        <v>763000</v>
      </c>
      <c r="Y114" s="93"/>
    </row>
    <row r="115" spans="2:25">
      <c r="B115" s="81"/>
      <c r="C115" s="90" t="s">
        <v>20</v>
      </c>
      <c r="D115" s="94">
        <f>G12</f>
        <v>663000</v>
      </c>
      <c r="E115" s="145"/>
      <c r="F115" s="146"/>
      <c r="G115" s="150"/>
      <c r="H115" s="151"/>
      <c r="I115" s="95">
        <f>E12</f>
        <v>913000</v>
      </c>
      <c r="J115" s="96"/>
      <c r="K115" s="96"/>
      <c r="L115" s="96"/>
      <c r="M115" s="96"/>
      <c r="N115" s="96"/>
      <c r="O115" s="55">
        <f>$T$124</f>
        <v>30000</v>
      </c>
      <c r="Q115" s="81"/>
      <c r="R115" s="90" t="s">
        <v>20</v>
      </c>
      <c r="S115" s="94">
        <f>V12</f>
        <v>663000</v>
      </c>
      <c r="T115" s="150">
        <f t="shared" ref="T115:T119" si="2">IF(X115&gt;S115,X115-S115,0)</f>
        <v>250000</v>
      </c>
      <c r="U115" s="151"/>
      <c r="V115" s="150">
        <f t="shared" ref="V115:V119" si="3">IF(X115&lt;S115,S115-X115,0)</f>
        <v>0</v>
      </c>
      <c r="W115" s="151"/>
      <c r="X115" s="95">
        <f>T12</f>
        <v>913000</v>
      </c>
      <c r="Y115" s="96"/>
    </row>
    <row r="116" spans="2:25">
      <c r="B116" s="81"/>
      <c r="C116" s="90" t="s">
        <v>49</v>
      </c>
      <c r="D116" s="94">
        <f>G13</f>
        <v>283000</v>
      </c>
      <c r="E116" s="150"/>
      <c r="F116" s="151"/>
      <c r="G116" s="145"/>
      <c r="H116" s="146"/>
      <c r="I116" s="95">
        <f>E13</f>
        <v>243000</v>
      </c>
      <c r="J116" s="96"/>
      <c r="K116" s="96"/>
      <c r="L116" s="96"/>
      <c r="M116" s="96"/>
      <c r="N116" s="96"/>
      <c r="O116" s="55">
        <f>$V$116</f>
        <v>40000</v>
      </c>
      <c r="Q116" s="81"/>
      <c r="R116" s="90" t="s">
        <v>49</v>
      </c>
      <c r="S116" s="94">
        <f>V13</f>
        <v>283000</v>
      </c>
      <c r="T116" s="150">
        <f t="shared" si="2"/>
        <v>0</v>
      </c>
      <c r="U116" s="151"/>
      <c r="V116" s="150">
        <f t="shared" si="3"/>
        <v>40000</v>
      </c>
      <c r="W116" s="151"/>
      <c r="X116" s="95">
        <f>T13</f>
        <v>243000</v>
      </c>
      <c r="Y116" s="96"/>
    </row>
    <row r="117" spans="2:25">
      <c r="B117" s="81"/>
      <c r="C117" s="90" t="s">
        <v>24</v>
      </c>
      <c r="D117" s="94">
        <f>G16</f>
        <v>1463000</v>
      </c>
      <c r="E117" s="150"/>
      <c r="F117" s="151"/>
      <c r="G117" s="145"/>
      <c r="H117" s="146"/>
      <c r="I117" s="95">
        <f>E16</f>
        <v>863000</v>
      </c>
      <c r="J117" s="96"/>
      <c r="K117" s="96"/>
      <c r="L117" s="96"/>
      <c r="M117" s="96"/>
      <c r="N117" s="96"/>
      <c r="O117" s="55">
        <f>$T$129</f>
        <v>50000</v>
      </c>
      <c r="Q117" s="81"/>
      <c r="R117" s="90" t="s">
        <v>24</v>
      </c>
      <c r="S117" s="94">
        <f>V16</f>
        <v>1463000</v>
      </c>
      <c r="T117" s="150">
        <f t="shared" si="2"/>
        <v>0</v>
      </c>
      <c r="U117" s="151"/>
      <c r="V117" s="150">
        <f t="shared" si="3"/>
        <v>600000</v>
      </c>
      <c r="W117" s="151"/>
      <c r="X117" s="95">
        <f>T16</f>
        <v>863000</v>
      </c>
      <c r="Y117" s="96"/>
    </row>
    <row r="118" spans="2:25">
      <c r="B118" s="81"/>
      <c r="C118" s="90" t="s">
        <v>25</v>
      </c>
      <c r="D118" s="94">
        <f>G17</f>
        <v>763000</v>
      </c>
      <c r="E118" s="145"/>
      <c r="F118" s="146"/>
      <c r="G118" s="150"/>
      <c r="H118" s="151"/>
      <c r="I118" s="95">
        <f>E17</f>
        <v>1063000</v>
      </c>
      <c r="J118" s="96"/>
      <c r="K118" s="96"/>
      <c r="L118" s="96"/>
      <c r="M118" s="96"/>
      <c r="N118" s="96"/>
      <c r="O118" s="55">
        <f>$V$123</f>
        <v>70000</v>
      </c>
      <c r="Q118" s="81"/>
      <c r="R118" s="90" t="s">
        <v>25</v>
      </c>
      <c r="S118" s="94">
        <f>V17</f>
        <v>763000</v>
      </c>
      <c r="T118" s="150">
        <f t="shared" si="2"/>
        <v>300000</v>
      </c>
      <c r="U118" s="151"/>
      <c r="V118" s="150">
        <f t="shared" si="3"/>
        <v>0</v>
      </c>
      <c r="W118" s="151"/>
      <c r="X118" s="95">
        <f>T17</f>
        <v>1063000</v>
      </c>
      <c r="Y118" s="96"/>
    </row>
    <row r="119" spans="2:25" ht="15">
      <c r="B119" s="81"/>
      <c r="C119" s="90" t="s">
        <v>26</v>
      </c>
      <c r="D119" s="97">
        <f>G18</f>
        <v>963000</v>
      </c>
      <c r="E119" s="145"/>
      <c r="F119" s="146"/>
      <c r="G119" s="150"/>
      <c r="H119" s="151"/>
      <c r="I119" s="98">
        <f>E18</f>
        <v>1113000</v>
      </c>
      <c r="J119" s="99"/>
      <c r="K119" s="99"/>
      <c r="L119" s="99"/>
      <c r="M119" s="99"/>
      <c r="N119" s="99"/>
      <c r="O119" s="55">
        <f>$V$128</f>
        <v>70000</v>
      </c>
      <c r="Q119" s="81"/>
      <c r="R119" s="90" t="s">
        <v>26</v>
      </c>
      <c r="S119" s="97">
        <f>V18</f>
        <v>963000</v>
      </c>
      <c r="T119" s="150">
        <f t="shared" si="2"/>
        <v>150000</v>
      </c>
      <c r="U119" s="151"/>
      <c r="V119" s="150">
        <f t="shared" si="3"/>
        <v>0</v>
      </c>
      <c r="W119" s="151"/>
      <c r="X119" s="98">
        <f>T18</f>
        <v>1113000</v>
      </c>
      <c r="Y119" s="99"/>
    </row>
    <row r="120" spans="2:25" ht="15">
      <c r="B120" s="81"/>
      <c r="C120" s="85"/>
      <c r="D120" s="100">
        <f>SUM(D114:D119)</f>
        <v>4368000</v>
      </c>
      <c r="E120" s="89"/>
      <c r="F120" s="101"/>
      <c r="G120" s="89"/>
      <c r="H120" s="101"/>
      <c r="I120" s="102">
        <f>SUM(I114:I119)</f>
        <v>4958000</v>
      </c>
      <c r="J120" s="103"/>
      <c r="K120" s="103"/>
      <c r="L120" s="103"/>
      <c r="M120" s="103"/>
      <c r="N120" s="103"/>
      <c r="O120" s="55">
        <f>$V$122</f>
        <v>120000</v>
      </c>
      <c r="Q120" s="81"/>
      <c r="R120" s="85"/>
      <c r="S120" s="100">
        <f>SUM(S114:S119)</f>
        <v>4368000</v>
      </c>
      <c r="T120" s="89"/>
      <c r="U120" s="101"/>
      <c r="V120" s="89"/>
      <c r="W120" s="101"/>
      <c r="X120" s="102">
        <f>SUM(X114:X119)</f>
        <v>4958000</v>
      </c>
      <c r="Y120" s="103"/>
    </row>
    <row r="121" spans="2:25">
      <c r="B121" s="81"/>
      <c r="C121" s="85" t="s">
        <v>50</v>
      </c>
      <c r="D121" s="95"/>
      <c r="E121" s="89"/>
      <c r="F121" s="101"/>
      <c r="G121" s="89"/>
      <c r="H121" s="101"/>
      <c r="I121" s="88"/>
      <c r="J121" s="85"/>
      <c r="K121" s="85"/>
      <c r="L121" s="85"/>
      <c r="M121" s="85"/>
      <c r="N121" s="85"/>
      <c r="O121" s="55">
        <f>$T$119</f>
        <v>150000</v>
      </c>
      <c r="Q121" s="81"/>
      <c r="R121" s="85" t="s">
        <v>50</v>
      </c>
      <c r="S121" s="95"/>
      <c r="T121" s="89"/>
      <c r="U121" s="101"/>
      <c r="V121" s="89"/>
      <c r="W121" s="101"/>
      <c r="X121" s="88"/>
      <c r="Y121" s="85"/>
    </row>
    <row r="122" spans="2:25">
      <c r="B122" s="81"/>
      <c r="C122" s="90" t="s">
        <v>51</v>
      </c>
      <c r="D122" s="104">
        <f>-G20</f>
        <v>297000</v>
      </c>
      <c r="E122" s="150"/>
      <c r="F122" s="151"/>
      <c r="G122" s="145"/>
      <c r="H122" s="146"/>
      <c r="I122" s="92">
        <f>-E20</f>
        <v>417000</v>
      </c>
      <c r="J122" s="93"/>
      <c r="K122" s="93"/>
      <c r="L122" s="93"/>
      <c r="M122" s="93"/>
      <c r="N122" s="93"/>
      <c r="O122" s="55">
        <f>$T$115</f>
        <v>250000</v>
      </c>
      <c r="Q122" s="81"/>
      <c r="R122" s="90" t="s">
        <v>51</v>
      </c>
      <c r="S122" s="104">
        <f>-V20</f>
        <v>297000</v>
      </c>
      <c r="T122" s="150">
        <f>IF(X122&lt;S122,S122-X122,0)</f>
        <v>0</v>
      </c>
      <c r="U122" s="151"/>
      <c r="V122" s="150">
        <f>IF(X122&gt;S122,X122-S122,0)</f>
        <v>120000</v>
      </c>
      <c r="W122" s="151"/>
      <c r="X122" s="92">
        <f>-T20</f>
        <v>417000</v>
      </c>
      <c r="Y122" s="93"/>
    </row>
    <row r="123" spans="2:25">
      <c r="B123" s="81"/>
      <c r="C123" s="90" t="s">
        <v>32</v>
      </c>
      <c r="D123" s="95">
        <f>G26</f>
        <v>263000</v>
      </c>
      <c r="E123" s="150"/>
      <c r="F123" s="151"/>
      <c r="G123" s="145"/>
      <c r="H123" s="146"/>
      <c r="I123" s="101">
        <f>E26</f>
        <v>333000</v>
      </c>
      <c r="J123" s="96"/>
      <c r="K123" s="96"/>
      <c r="L123" s="96"/>
      <c r="M123" s="96"/>
      <c r="N123" s="96"/>
      <c r="O123" s="55">
        <f>$T$118</f>
        <v>300000</v>
      </c>
      <c r="Q123" s="81"/>
      <c r="R123" s="90" t="s">
        <v>32</v>
      </c>
      <c r="S123" s="95">
        <f>V26</f>
        <v>263000</v>
      </c>
      <c r="T123" s="150">
        <f t="shared" ref="T123:T128" si="4">IF(X123&lt;S123,S123-X123,0)</f>
        <v>0</v>
      </c>
      <c r="U123" s="151"/>
      <c r="V123" s="150">
        <f t="shared" ref="V123:V128" si="5">IF(X123&gt;S123,X123-S123,0)</f>
        <v>70000</v>
      </c>
      <c r="W123" s="151"/>
      <c r="X123" s="101">
        <f>T26</f>
        <v>333000</v>
      </c>
      <c r="Y123" s="96"/>
    </row>
    <row r="124" spans="2:25">
      <c r="B124" s="81"/>
      <c r="C124" s="90" t="s">
        <v>112</v>
      </c>
      <c r="D124" s="95">
        <f>G27</f>
        <v>113000</v>
      </c>
      <c r="E124" s="145"/>
      <c r="F124" s="146"/>
      <c r="G124" s="150"/>
      <c r="H124" s="151"/>
      <c r="I124" s="101">
        <f>E27</f>
        <v>83000</v>
      </c>
      <c r="J124" s="96"/>
      <c r="K124" s="96"/>
      <c r="L124" s="96"/>
      <c r="M124" s="96"/>
      <c r="N124" s="96"/>
      <c r="O124" s="55">
        <f>$V$126</f>
        <v>300000</v>
      </c>
      <c r="Q124" s="81"/>
      <c r="R124" s="90" t="s">
        <v>80</v>
      </c>
      <c r="S124" s="95">
        <f>V27</f>
        <v>113000</v>
      </c>
      <c r="T124" s="150">
        <f t="shared" si="4"/>
        <v>30000</v>
      </c>
      <c r="U124" s="151"/>
      <c r="V124" s="150">
        <f t="shared" si="5"/>
        <v>0</v>
      </c>
      <c r="W124" s="151"/>
      <c r="X124" s="101">
        <f>T27</f>
        <v>83000</v>
      </c>
      <c r="Y124" s="96"/>
    </row>
    <row r="125" spans="2:25">
      <c r="B125" s="81"/>
      <c r="C125" s="90" t="s">
        <v>35</v>
      </c>
      <c r="D125" s="95">
        <f>G30</f>
        <v>1863000</v>
      </c>
      <c r="E125" s="145"/>
      <c r="F125" s="146"/>
      <c r="G125" s="150"/>
      <c r="H125" s="151"/>
      <c r="I125" s="101">
        <f>E30</f>
        <v>963000</v>
      </c>
      <c r="J125" s="96"/>
      <c r="K125" s="96"/>
      <c r="L125" s="96"/>
      <c r="M125" s="96"/>
      <c r="N125" s="96"/>
      <c r="O125" s="55">
        <f>$T$114</f>
        <v>530000</v>
      </c>
      <c r="Q125" s="81"/>
      <c r="R125" s="90" t="s">
        <v>35</v>
      </c>
      <c r="S125" s="95">
        <f>V30</f>
        <v>1863000</v>
      </c>
      <c r="T125" s="150">
        <f t="shared" ref="T125" si="6">IF(X125&lt;S125,S125-X125,0)</f>
        <v>900000</v>
      </c>
      <c r="U125" s="151"/>
      <c r="V125" s="150">
        <f t="shared" ref="V125" si="7">IF(X125&gt;S125,X125-S125,0)</f>
        <v>0</v>
      </c>
      <c r="W125" s="151"/>
      <c r="X125" s="101">
        <f>T30</f>
        <v>963000</v>
      </c>
      <c r="Y125" s="96"/>
    </row>
    <row r="126" spans="2:25">
      <c r="B126" s="81"/>
      <c r="C126" s="90" t="s">
        <v>95</v>
      </c>
      <c r="D126" s="95">
        <f>G34</f>
        <v>63000</v>
      </c>
      <c r="E126" s="150"/>
      <c r="F126" s="151"/>
      <c r="G126" s="145"/>
      <c r="H126" s="146"/>
      <c r="I126" s="101">
        <f>E34</f>
        <v>363000</v>
      </c>
      <c r="J126" s="96"/>
      <c r="K126" s="96"/>
      <c r="L126" s="96"/>
      <c r="M126" s="96"/>
      <c r="N126" s="96"/>
      <c r="O126" s="55">
        <f>$V$117</f>
        <v>600000</v>
      </c>
      <c r="Q126" s="81"/>
      <c r="R126" s="90" t="s">
        <v>95</v>
      </c>
      <c r="S126" s="95">
        <f>V34</f>
        <v>63000</v>
      </c>
      <c r="T126" s="150">
        <f t="shared" ref="T126" si="8">IF(X126&lt;S126,S126-X126,0)</f>
        <v>0</v>
      </c>
      <c r="U126" s="151"/>
      <c r="V126" s="150">
        <f t="shared" ref="V126" si="9">IF(X126&gt;S126,X126-S126,0)</f>
        <v>300000</v>
      </c>
      <c r="W126" s="151"/>
      <c r="X126" s="101">
        <f>T34</f>
        <v>363000</v>
      </c>
      <c r="Y126" s="96"/>
    </row>
    <row r="127" spans="2:25">
      <c r="B127" s="81"/>
      <c r="C127" s="90" t="s">
        <v>38</v>
      </c>
      <c r="D127" s="95">
        <f>G35</f>
        <v>963000</v>
      </c>
      <c r="E127" s="150"/>
      <c r="F127" s="151"/>
      <c r="G127" s="145"/>
      <c r="H127" s="146"/>
      <c r="I127" s="101">
        <f>E35</f>
        <v>973000</v>
      </c>
      <c r="J127" s="96"/>
      <c r="K127" s="96"/>
      <c r="L127" s="96"/>
      <c r="M127" s="96"/>
      <c r="N127" s="96"/>
      <c r="O127" s="55">
        <f>$T$125</f>
        <v>900000</v>
      </c>
      <c r="Q127" s="81"/>
      <c r="R127" s="90" t="s">
        <v>38</v>
      </c>
      <c r="S127" s="95">
        <f>V35</f>
        <v>963000</v>
      </c>
      <c r="T127" s="150">
        <f t="shared" si="4"/>
        <v>0</v>
      </c>
      <c r="U127" s="151"/>
      <c r="V127" s="150">
        <f t="shared" si="5"/>
        <v>10000</v>
      </c>
      <c r="W127" s="151"/>
      <c r="X127" s="101">
        <f>T35</f>
        <v>973000</v>
      </c>
      <c r="Y127" s="96"/>
    </row>
    <row r="128" spans="2:25">
      <c r="B128" s="81"/>
      <c r="C128" s="90" t="s">
        <v>39</v>
      </c>
      <c r="D128" s="95">
        <f t="shared" ref="D128:D129" si="10">G36</f>
        <v>363000</v>
      </c>
      <c r="E128" s="150"/>
      <c r="F128" s="151"/>
      <c r="G128" s="145"/>
      <c r="H128" s="146"/>
      <c r="I128" s="101">
        <f t="shared" ref="I128:I129" si="11">E36</f>
        <v>433000</v>
      </c>
      <c r="J128" s="96"/>
      <c r="K128" s="96"/>
      <c r="L128" s="96"/>
      <c r="M128" s="96"/>
      <c r="N128" s="96"/>
      <c r="O128" s="55">
        <f>$V$129</f>
        <v>1000000</v>
      </c>
      <c r="Q128" s="81"/>
      <c r="R128" s="90" t="s">
        <v>39</v>
      </c>
      <c r="S128" s="95">
        <f t="shared" ref="S128:S129" si="12">V36</f>
        <v>363000</v>
      </c>
      <c r="T128" s="150">
        <f t="shared" si="4"/>
        <v>0</v>
      </c>
      <c r="U128" s="151"/>
      <c r="V128" s="150">
        <f t="shared" si="5"/>
        <v>70000</v>
      </c>
      <c r="W128" s="151"/>
      <c r="X128" s="101">
        <f t="shared" ref="X128:X129" si="13">T36</f>
        <v>433000</v>
      </c>
      <c r="Y128" s="96"/>
    </row>
    <row r="129" spans="2:25" ht="15">
      <c r="B129" s="81"/>
      <c r="C129" s="90" t="s">
        <v>14</v>
      </c>
      <c r="D129" s="98">
        <f t="shared" si="10"/>
        <v>443000</v>
      </c>
      <c r="E129" s="145"/>
      <c r="F129" s="146"/>
      <c r="G129" s="145"/>
      <c r="H129" s="146"/>
      <c r="I129" s="105">
        <f t="shared" si="11"/>
        <v>1393000</v>
      </c>
      <c r="J129" s="99"/>
      <c r="K129" s="99"/>
      <c r="L129" s="99"/>
      <c r="M129" s="99"/>
      <c r="N129" s="99"/>
      <c r="Q129" s="81"/>
      <c r="R129" s="90" t="s">
        <v>14</v>
      </c>
      <c r="S129" s="98">
        <f t="shared" si="12"/>
        <v>443000</v>
      </c>
      <c r="T129" s="150">
        <f>-T95</f>
        <v>50000</v>
      </c>
      <c r="U129" s="151"/>
      <c r="V129" s="150">
        <f>V60</f>
        <v>1000000</v>
      </c>
      <c r="W129" s="151"/>
      <c r="X129" s="105">
        <f t="shared" si="13"/>
        <v>1393000</v>
      </c>
      <c r="Y129" s="99"/>
    </row>
    <row r="130" spans="2:25" ht="15">
      <c r="B130" s="81"/>
      <c r="C130" s="85"/>
      <c r="D130" s="100">
        <f>SUM(D122:D129)</f>
        <v>4368000</v>
      </c>
      <c r="E130" s="89"/>
      <c r="F130" s="101"/>
      <c r="G130" s="89"/>
      <c r="H130" s="101"/>
      <c r="I130" s="102">
        <f>SUM(I122:I129)</f>
        <v>4958000</v>
      </c>
      <c r="J130" s="103"/>
      <c r="K130" s="103"/>
      <c r="L130" s="103"/>
      <c r="M130" s="103"/>
      <c r="N130" s="103"/>
      <c r="Q130" s="81"/>
      <c r="R130" s="85"/>
      <c r="S130" s="100">
        <f>SUM(S122:S129)</f>
        <v>4368000</v>
      </c>
      <c r="T130" s="89"/>
      <c r="U130" s="101"/>
      <c r="V130" s="89"/>
      <c r="W130" s="101"/>
      <c r="X130" s="102">
        <f>SUM(X122:X129)</f>
        <v>4958000</v>
      </c>
      <c r="Y130" s="103"/>
    </row>
    <row r="131" spans="2:25" ht="15">
      <c r="B131" s="81"/>
      <c r="C131" s="85"/>
      <c r="D131" s="103"/>
      <c r="E131" s="89"/>
      <c r="F131" s="96"/>
      <c r="G131" s="89"/>
      <c r="H131" s="96"/>
      <c r="I131" s="102"/>
      <c r="J131" s="103"/>
      <c r="K131" s="103"/>
      <c r="L131" s="103"/>
      <c r="M131" s="103"/>
      <c r="N131" s="103"/>
      <c r="Q131" s="81"/>
      <c r="R131" s="85"/>
      <c r="S131" s="103"/>
      <c r="T131" s="89"/>
      <c r="U131" s="96"/>
      <c r="V131" s="89"/>
      <c r="W131" s="96"/>
      <c r="X131" s="102"/>
      <c r="Y131" s="103"/>
    </row>
    <row r="132" spans="2:25" ht="15" customHeight="1">
      <c r="B132" s="147" t="s">
        <v>62</v>
      </c>
      <c r="C132" s="148"/>
      <c r="D132" s="148"/>
      <c r="E132" s="148"/>
      <c r="F132" s="148"/>
      <c r="G132" s="148"/>
      <c r="H132" s="148"/>
      <c r="I132" s="149"/>
      <c r="J132" s="106"/>
      <c r="K132" s="106"/>
      <c r="L132" s="106"/>
      <c r="M132" s="106"/>
      <c r="N132" s="106"/>
      <c r="Q132" s="147" t="s">
        <v>62</v>
      </c>
      <c r="R132" s="148"/>
      <c r="S132" s="148"/>
      <c r="T132" s="148"/>
      <c r="U132" s="148"/>
      <c r="V132" s="148"/>
      <c r="W132" s="148"/>
      <c r="X132" s="149"/>
      <c r="Y132" s="106"/>
    </row>
    <row r="133" spans="2:25">
      <c r="B133" s="147" t="s">
        <v>66</v>
      </c>
      <c r="C133" s="148"/>
      <c r="D133" s="148"/>
      <c r="E133" s="148"/>
      <c r="F133" s="148"/>
      <c r="G133" s="148"/>
      <c r="H133" s="148"/>
      <c r="I133" s="149"/>
      <c r="J133" s="106"/>
      <c r="K133" s="106"/>
      <c r="L133" s="106"/>
      <c r="M133" s="106"/>
      <c r="N133" s="106"/>
      <c r="Q133" s="147" t="s">
        <v>66</v>
      </c>
      <c r="R133" s="148"/>
      <c r="S133" s="148"/>
      <c r="T133" s="148"/>
      <c r="U133" s="148"/>
      <c r="V133" s="148"/>
      <c r="W133" s="148"/>
      <c r="X133" s="149"/>
      <c r="Y133" s="106"/>
    </row>
    <row r="134" spans="2:25">
      <c r="B134" s="147" t="s">
        <v>63</v>
      </c>
      <c r="C134" s="148"/>
      <c r="D134" s="148"/>
      <c r="E134" s="148"/>
      <c r="F134" s="148"/>
      <c r="G134" s="148"/>
      <c r="H134" s="148"/>
      <c r="I134" s="149"/>
      <c r="J134" s="106"/>
      <c r="K134" s="106"/>
      <c r="L134" s="106"/>
      <c r="M134" s="106"/>
      <c r="N134" s="106"/>
      <c r="Q134" s="147" t="s">
        <v>63</v>
      </c>
      <c r="R134" s="148"/>
      <c r="S134" s="148"/>
      <c r="T134" s="148"/>
      <c r="U134" s="148"/>
      <c r="V134" s="148"/>
      <c r="W134" s="148"/>
      <c r="X134" s="149"/>
      <c r="Y134" s="106"/>
    </row>
    <row r="135" spans="2:25" ht="7.5" customHeight="1">
      <c r="B135" s="107"/>
      <c r="C135" s="108"/>
      <c r="D135" s="108"/>
      <c r="E135" s="108"/>
      <c r="F135" s="108"/>
      <c r="G135" s="108"/>
      <c r="H135" s="108"/>
      <c r="I135" s="109"/>
      <c r="J135" s="106"/>
      <c r="K135" s="106"/>
      <c r="L135" s="106"/>
      <c r="M135" s="106"/>
      <c r="N135" s="106"/>
      <c r="Q135" s="107"/>
      <c r="R135" s="108"/>
      <c r="S135" s="108"/>
      <c r="T135" s="108"/>
      <c r="U135" s="108"/>
      <c r="V135" s="108"/>
      <c r="W135" s="108"/>
      <c r="X135" s="109"/>
      <c r="Y135" s="106"/>
    </row>
    <row r="136" spans="2:25">
      <c r="B136" s="110"/>
      <c r="C136" s="18"/>
      <c r="D136" s="111"/>
      <c r="E136" s="143" t="s">
        <v>46</v>
      </c>
      <c r="F136" s="144"/>
      <c r="G136" s="143" t="s">
        <v>47</v>
      </c>
      <c r="H136" s="144"/>
      <c r="I136" s="112"/>
      <c r="J136" s="85"/>
      <c r="K136" s="85"/>
      <c r="L136" s="85"/>
      <c r="M136" s="85"/>
      <c r="N136" s="85"/>
      <c r="Q136" s="110"/>
      <c r="R136" s="18"/>
      <c r="S136" s="111"/>
      <c r="T136" s="143" t="s">
        <v>46</v>
      </c>
      <c r="U136" s="144"/>
      <c r="V136" s="143" t="s">
        <v>47</v>
      </c>
      <c r="W136" s="144"/>
      <c r="X136" s="112"/>
      <c r="Y136" s="85"/>
    </row>
    <row r="137" spans="2:25">
      <c r="B137" s="110"/>
      <c r="C137" s="18" t="s">
        <v>52</v>
      </c>
      <c r="D137" s="111"/>
      <c r="E137" s="113"/>
      <c r="F137" s="114"/>
      <c r="G137" s="113"/>
      <c r="H137" s="114"/>
      <c r="I137" s="112"/>
      <c r="J137" s="85"/>
      <c r="K137" s="85"/>
      <c r="L137" s="85"/>
      <c r="M137" s="85"/>
      <c r="N137" s="85" t="str">
        <f>$R$142</f>
        <v>Decrease in Inventory</v>
      </c>
      <c r="O137" s="55">
        <f>$V$144</f>
        <v>30000</v>
      </c>
      <c r="Q137" s="110"/>
      <c r="R137" s="18" t="s">
        <v>52</v>
      </c>
      <c r="S137" s="111"/>
      <c r="T137" s="113"/>
      <c r="U137" s="114"/>
      <c r="V137" s="113"/>
      <c r="W137" s="114"/>
      <c r="X137" s="112"/>
      <c r="Y137" s="85"/>
    </row>
    <row r="138" spans="2:25">
      <c r="B138" s="110"/>
      <c r="C138" s="115" t="s">
        <v>81</v>
      </c>
      <c r="D138" s="111"/>
      <c r="E138" s="137"/>
      <c r="F138" s="138"/>
      <c r="G138" s="135"/>
      <c r="H138" s="136"/>
      <c r="I138" s="112"/>
      <c r="J138" s="85"/>
      <c r="K138" s="85"/>
      <c r="L138" s="85"/>
      <c r="M138" s="85"/>
      <c r="N138" s="85" t="str">
        <f>$R$144</f>
        <v>Decrease in Wages Payable</v>
      </c>
      <c r="O138" s="55">
        <f>$T$142</f>
        <v>40000</v>
      </c>
      <c r="Q138" s="110"/>
      <c r="R138" s="115" t="s">
        <v>81</v>
      </c>
      <c r="S138" s="111"/>
      <c r="T138" s="135">
        <f>V129</f>
        <v>1000000</v>
      </c>
      <c r="U138" s="136"/>
      <c r="V138" s="135"/>
      <c r="W138" s="136"/>
      <c r="X138" s="112"/>
      <c r="Y138" s="85"/>
    </row>
    <row r="139" spans="2:25">
      <c r="B139" s="110"/>
      <c r="C139" s="116" t="s">
        <v>85</v>
      </c>
      <c r="D139" s="111"/>
      <c r="E139" s="137"/>
      <c r="F139" s="138"/>
      <c r="G139" s="135"/>
      <c r="H139" s="136"/>
      <c r="I139" s="112"/>
      <c r="J139" s="85"/>
      <c r="K139" s="85"/>
      <c r="L139" s="85"/>
      <c r="M139" s="85"/>
      <c r="N139" s="85" t="str">
        <f>$R$139</f>
        <v>Depreciation Expense</v>
      </c>
      <c r="O139" s="55">
        <f>$V$154</f>
        <v>50000</v>
      </c>
      <c r="Q139" s="110"/>
      <c r="R139" s="116" t="s">
        <v>85</v>
      </c>
      <c r="S139" s="111"/>
      <c r="T139" s="135">
        <f>V122</f>
        <v>120000</v>
      </c>
      <c r="U139" s="136"/>
      <c r="V139" s="135"/>
      <c r="W139" s="136"/>
      <c r="X139" s="112"/>
      <c r="Y139" s="85"/>
    </row>
    <row r="140" spans="2:25">
      <c r="B140" s="110"/>
      <c r="C140" s="116" t="s">
        <v>86</v>
      </c>
      <c r="D140" s="111"/>
      <c r="E140" s="135"/>
      <c r="F140" s="136"/>
      <c r="G140" s="137"/>
      <c r="H140" s="138"/>
      <c r="I140" s="112"/>
      <c r="J140" s="85"/>
      <c r="K140" s="85"/>
      <c r="L140" s="85"/>
      <c r="M140" s="85"/>
      <c r="N140" s="96" t="str">
        <f>$R$154</f>
        <v>Dividends on common</v>
      </c>
      <c r="O140" s="55">
        <f>$T$143</f>
        <v>70000</v>
      </c>
      <c r="Q140" s="110"/>
      <c r="R140" s="116" t="s">
        <v>86</v>
      </c>
      <c r="S140" s="111"/>
      <c r="T140" s="135"/>
      <c r="U140" s="136"/>
      <c r="V140" s="135">
        <f>-T57</f>
        <v>150000</v>
      </c>
      <c r="W140" s="136"/>
      <c r="X140" s="112"/>
      <c r="Y140" s="85"/>
    </row>
    <row r="141" spans="2:25">
      <c r="B141" s="110"/>
      <c r="C141" s="116" t="s">
        <v>87</v>
      </c>
      <c r="D141" s="111"/>
      <c r="E141" s="135"/>
      <c r="F141" s="136"/>
      <c r="G141" s="137"/>
      <c r="H141" s="138"/>
      <c r="I141" s="112"/>
      <c r="J141" s="85"/>
      <c r="K141" s="85"/>
      <c r="L141" s="85"/>
      <c r="M141" s="85"/>
      <c r="N141" s="85" t="str">
        <f>$R$140</f>
        <v>Gain on Sale of Land</v>
      </c>
      <c r="O141" s="55">
        <f>$T$153</f>
        <v>80000</v>
      </c>
      <c r="Q141" s="110"/>
      <c r="R141" s="116" t="s">
        <v>87</v>
      </c>
      <c r="S141" s="111"/>
      <c r="T141" s="135"/>
      <c r="U141" s="136"/>
      <c r="V141" s="135">
        <f>T115</f>
        <v>250000</v>
      </c>
      <c r="W141" s="136"/>
      <c r="X141" s="112"/>
      <c r="Y141" s="85"/>
    </row>
    <row r="142" spans="2:25">
      <c r="B142" s="110"/>
      <c r="C142" s="116" t="s">
        <v>98</v>
      </c>
      <c r="D142" s="111"/>
      <c r="E142" s="137"/>
      <c r="F142" s="138"/>
      <c r="G142" s="135"/>
      <c r="H142" s="136"/>
      <c r="I142" s="112"/>
      <c r="J142" s="85"/>
      <c r="K142" s="85"/>
      <c r="L142" s="85"/>
      <c r="M142" s="85"/>
      <c r="N142" s="85" t="str">
        <f>$R$143</f>
        <v>Increase in Accounts Payable</v>
      </c>
      <c r="O142" s="55">
        <f>$T$139</f>
        <v>120000</v>
      </c>
      <c r="Q142" s="110"/>
      <c r="R142" s="116" t="s">
        <v>98</v>
      </c>
      <c r="S142" s="111"/>
      <c r="T142" s="135">
        <f>V116</f>
        <v>40000</v>
      </c>
      <c r="U142" s="136"/>
      <c r="V142" s="135"/>
      <c r="W142" s="136"/>
      <c r="X142" s="112"/>
      <c r="Y142" s="85"/>
    </row>
    <row r="143" spans="2:25">
      <c r="B143" s="110"/>
      <c r="C143" s="116" t="s">
        <v>99</v>
      </c>
      <c r="D143" s="111"/>
      <c r="E143" s="137"/>
      <c r="F143" s="138"/>
      <c r="G143" s="135"/>
      <c r="H143" s="136"/>
      <c r="I143" s="112"/>
      <c r="J143" s="85"/>
      <c r="K143" s="85"/>
      <c r="L143" s="85"/>
      <c r="M143" s="85"/>
      <c r="N143" s="85" t="str">
        <f>$R$141</f>
        <v>Increase in Accounts Receivable</v>
      </c>
      <c r="O143" s="55">
        <f>$V$140</f>
        <v>150000</v>
      </c>
      <c r="Q143" s="110"/>
      <c r="R143" s="116" t="s">
        <v>99</v>
      </c>
      <c r="S143" s="111"/>
      <c r="T143" s="135">
        <f>V123</f>
        <v>70000</v>
      </c>
      <c r="U143" s="136"/>
      <c r="V143" s="135"/>
      <c r="W143" s="136"/>
      <c r="X143" s="112"/>
      <c r="Y143" s="85"/>
    </row>
    <row r="144" spans="2:25">
      <c r="B144" s="110"/>
      <c r="C144" s="116" t="s">
        <v>114</v>
      </c>
      <c r="D144" s="111"/>
      <c r="E144" s="139"/>
      <c r="F144" s="140"/>
      <c r="G144" s="141"/>
      <c r="H144" s="142"/>
      <c r="I144" s="117"/>
      <c r="J144" s="85"/>
      <c r="K144" s="85"/>
      <c r="L144" s="85"/>
      <c r="M144" s="85"/>
      <c r="N144" s="85" t="str">
        <f>$R$160</f>
        <v>Issue Preferred Stock for Building</v>
      </c>
      <c r="O144" s="55">
        <f>$V$149</f>
        <v>150000</v>
      </c>
      <c r="Q144" s="110"/>
      <c r="R144" s="116" t="s">
        <v>88</v>
      </c>
      <c r="S144" s="111"/>
      <c r="T144" s="139"/>
      <c r="U144" s="140"/>
      <c r="V144" s="139">
        <f>T124</f>
        <v>30000</v>
      </c>
      <c r="W144" s="140"/>
      <c r="X144" s="117"/>
      <c r="Y144" s="85"/>
    </row>
    <row r="145" spans="2:25">
      <c r="B145" s="110"/>
      <c r="C145" s="18" t="s">
        <v>89</v>
      </c>
      <c r="D145" s="111"/>
      <c r="E145" s="118"/>
      <c r="F145" s="119"/>
      <c r="G145" s="118"/>
      <c r="H145" s="119"/>
      <c r="I145" s="114">
        <f>SUM(E138:F144)-SUM(G138:H144)</f>
        <v>0</v>
      </c>
      <c r="J145" s="85"/>
      <c r="K145" s="85"/>
      <c r="L145" s="85"/>
      <c r="M145" s="85"/>
      <c r="N145" s="85" t="str">
        <f>$R$138</f>
        <v>Net Income</v>
      </c>
      <c r="O145" s="55">
        <f>$V$141</f>
        <v>250000</v>
      </c>
      <c r="Q145" s="110"/>
      <c r="R145" s="18" t="s">
        <v>89</v>
      </c>
      <c r="S145" s="111"/>
      <c r="T145" s="118"/>
      <c r="U145" s="119"/>
      <c r="V145" s="118"/>
      <c r="W145" s="119"/>
      <c r="X145" s="114">
        <f>SUM(T138:U144)-SUM(V138:W144)</f>
        <v>800000</v>
      </c>
      <c r="Y145" s="85"/>
    </row>
    <row r="146" spans="2:25">
      <c r="B146" s="110"/>
      <c r="C146" s="18"/>
      <c r="D146" s="111"/>
      <c r="E146" s="118"/>
      <c r="F146" s="119"/>
      <c r="G146" s="118"/>
      <c r="H146" s="119"/>
      <c r="I146" s="114"/>
      <c r="J146" s="85"/>
      <c r="K146" s="85"/>
      <c r="L146" s="85"/>
      <c r="M146" s="85"/>
      <c r="N146" s="96" t="str">
        <f>$R$153</f>
        <v>Proceeds from Issuing Stock</v>
      </c>
      <c r="O146" s="55">
        <f>$T$160</f>
        <v>300000</v>
      </c>
      <c r="Q146" s="110"/>
      <c r="R146" s="18"/>
      <c r="S146" s="111"/>
      <c r="T146" s="118"/>
      <c r="U146" s="119"/>
      <c r="V146" s="118"/>
      <c r="W146" s="119"/>
      <c r="X146" s="114"/>
      <c r="Y146" s="85"/>
    </row>
    <row r="147" spans="2:25">
      <c r="B147" s="110"/>
      <c r="C147" s="18" t="s">
        <v>53</v>
      </c>
      <c r="D147" s="111"/>
      <c r="E147" s="135"/>
      <c r="F147" s="136"/>
      <c r="G147" s="135"/>
      <c r="H147" s="136"/>
      <c r="I147" s="112"/>
      <c r="J147" s="85"/>
      <c r="K147" s="85"/>
      <c r="L147" s="85"/>
      <c r="M147" s="85"/>
      <c r="N147" s="85" t="str">
        <f>$R$149</f>
        <v>Purchase of Equipment</v>
      </c>
      <c r="O147" s="55">
        <f>$T$148</f>
        <v>750000</v>
      </c>
      <c r="Q147" s="110"/>
      <c r="R147" s="18" t="s">
        <v>53</v>
      </c>
      <c r="S147" s="111"/>
      <c r="T147" s="135"/>
      <c r="U147" s="136"/>
      <c r="V147" s="135"/>
      <c r="W147" s="136"/>
      <c r="X147" s="112"/>
      <c r="Y147" s="85"/>
    </row>
    <row r="148" spans="2:25">
      <c r="B148" s="110"/>
      <c r="C148" s="115" t="s">
        <v>90</v>
      </c>
      <c r="D148" s="111"/>
      <c r="E148" s="137"/>
      <c r="F148" s="138"/>
      <c r="G148" s="135"/>
      <c r="H148" s="136"/>
      <c r="I148" s="112"/>
      <c r="J148" s="85"/>
      <c r="K148" s="85"/>
      <c r="L148" s="85"/>
      <c r="M148" s="85"/>
      <c r="N148" s="96" t="str">
        <f>$R$155</f>
        <v>Repayment of long-term loans</v>
      </c>
      <c r="O148" s="55">
        <f>$V$155</f>
        <v>900000</v>
      </c>
      <c r="Q148" s="110"/>
      <c r="R148" s="115" t="s">
        <v>90</v>
      </c>
      <c r="S148" s="111"/>
      <c r="T148" s="135">
        <f>T89</f>
        <v>750000</v>
      </c>
      <c r="U148" s="136"/>
      <c r="V148" s="135"/>
      <c r="W148" s="136"/>
      <c r="X148" s="112"/>
      <c r="Y148" s="85"/>
    </row>
    <row r="149" spans="2:25">
      <c r="B149" s="110"/>
      <c r="C149" s="115" t="s">
        <v>91</v>
      </c>
      <c r="D149" s="111"/>
      <c r="E149" s="139"/>
      <c r="F149" s="140"/>
      <c r="G149" s="141"/>
      <c r="H149" s="142"/>
      <c r="I149" s="117"/>
      <c r="J149" s="85"/>
      <c r="K149" s="85"/>
      <c r="L149" s="85"/>
      <c r="M149" s="85"/>
      <c r="N149" s="85" t="str">
        <f>$R$148</f>
        <v xml:space="preserve">Sale of Land </v>
      </c>
      <c r="O149" s="55">
        <f>$T$138</f>
        <v>1000000</v>
      </c>
      <c r="Q149" s="110"/>
      <c r="R149" s="115" t="s">
        <v>91</v>
      </c>
      <c r="S149" s="111"/>
      <c r="T149" s="139"/>
      <c r="U149" s="140"/>
      <c r="V149" s="139">
        <f>T119</f>
        <v>150000</v>
      </c>
      <c r="W149" s="140"/>
      <c r="X149" s="117"/>
      <c r="Y149" s="85"/>
    </row>
    <row r="150" spans="2:25">
      <c r="B150" s="110"/>
      <c r="C150" s="18" t="s">
        <v>92</v>
      </c>
      <c r="D150" s="111"/>
      <c r="E150" s="118"/>
      <c r="F150" s="119"/>
      <c r="G150" s="118"/>
      <c r="H150" s="119"/>
      <c r="I150" s="114">
        <f>E148+E149-G148-G149</f>
        <v>0</v>
      </c>
      <c r="J150" s="85"/>
      <c r="K150" s="85"/>
      <c r="L150" s="85"/>
      <c r="M150" s="85"/>
      <c r="N150" s="85"/>
      <c r="Q150" s="110"/>
      <c r="R150" s="18" t="s">
        <v>92</v>
      </c>
      <c r="S150" s="111"/>
      <c r="T150" s="118"/>
      <c r="U150" s="119"/>
      <c r="V150" s="118"/>
      <c r="W150" s="119"/>
      <c r="X150" s="114">
        <f>T148+T149-V148-V149</f>
        <v>600000</v>
      </c>
      <c r="Y150" s="85"/>
    </row>
    <row r="151" spans="2:25">
      <c r="B151" s="110"/>
      <c r="C151" s="115"/>
      <c r="D151" s="111"/>
      <c r="E151" s="118"/>
      <c r="F151" s="119"/>
      <c r="G151" s="118"/>
      <c r="H151" s="119"/>
      <c r="I151" s="112"/>
      <c r="J151" s="85"/>
      <c r="K151" s="85"/>
      <c r="L151" s="85"/>
      <c r="M151" s="85"/>
      <c r="N151" s="85"/>
      <c r="Q151" s="110"/>
      <c r="R151" s="115"/>
      <c r="S151" s="111"/>
      <c r="T151" s="118"/>
      <c r="U151" s="119"/>
      <c r="V151" s="118"/>
      <c r="W151" s="119"/>
      <c r="X151" s="112"/>
      <c r="Y151" s="85"/>
    </row>
    <row r="152" spans="2:25">
      <c r="B152" s="110"/>
      <c r="C152" s="18" t="s">
        <v>54</v>
      </c>
      <c r="D152" s="111"/>
      <c r="E152" s="135"/>
      <c r="F152" s="136"/>
      <c r="G152" s="135"/>
      <c r="H152" s="136"/>
      <c r="I152" s="112"/>
      <c r="J152" s="85"/>
      <c r="K152" s="85"/>
      <c r="L152" s="85"/>
      <c r="M152" s="85"/>
      <c r="N152" s="85"/>
      <c r="Q152" s="110"/>
      <c r="R152" s="18" t="s">
        <v>54</v>
      </c>
      <c r="S152" s="111"/>
      <c r="T152" s="135"/>
      <c r="U152" s="136"/>
      <c r="V152" s="135"/>
      <c r="W152" s="136"/>
      <c r="X152" s="112"/>
      <c r="Y152" s="85"/>
    </row>
    <row r="153" spans="2:25">
      <c r="B153" s="110"/>
      <c r="C153" s="22" t="s">
        <v>96</v>
      </c>
      <c r="D153" s="111"/>
      <c r="E153" s="137"/>
      <c r="F153" s="138"/>
      <c r="G153" s="135"/>
      <c r="H153" s="136"/>
      <c r="I153" s="112"/>
      <c r="J153" s="85"/>
      <c r="K153" s="85"/>
      <c r="L153" s="85"/>
      <c r="M153" s="85"/>
      <c r="N153" s="85"/>
      <c r="Q153" s="110"/>
      <c r="R153" s="22" t="s">
        <v>96</v>
      </c>
      <c r="S153" s="111"/>
      <c r="T153" s="135">
        <f>V127+V128</f>
        <v>80000</v>
      </c>
      <c r="U153" s="136"/>
      <c r="V153" s="135"/>
      <c r="W153" s="136"/>
      <c r="X153" s="112"/>
      <c r="Y153" s="85"/>
    </row>
    <row r="154" spans="2:25">
      <c r="B154" s="110"/>
      <c r="C154" s="22" t="s">
        <v>74</v>
      </c>
      <c r="D154" s="111"/>
      <c r="E154" s="135"/>
      <c r="F154" s="136"/>
      <c r="G154" s="137"/>
      <c r="H154" s="138"/>
      <c r="I154" s="112"/>
      <c r="J154" s="85"/>
      <c r="K154" s="85"/>
      <c r="L154" s="85"/>
      <c r="M154" s="85"/>
      <c r="N154" s="85"/>
      <c r="Q154" s="110"/>
      <c r="R154" s="22" t="s">
        <v>74</v>
      </c>
      <c r="S154" s="111"/>
      <c r="T154" s="135"/>
      <c r="U154" s="136"/>
      <c r="V154" s="135">
        <f>T129</f>
        <v>50000</v>
      </c>
      <c r="W154" s="136"/>
      <c r="X154" s="112"/>
      <c r="Y154" s="85"/>
    </row>
    <row r="155" spans="2:25">
      <c r="B155" s="110"/>
      <c r="C155" s="22" t="s">
        <v>75</v>
      </c>
      <c r="D155" s="111"/>
      <c r="E155" s="139"/>
      <c r="F155" s="140"/>
      <c r="G155" s="141"/>
      <c r="H155" s="142"/>
      <c r="I155" s="117"/>
      <c r="J155" s="85"/>
      <c r="K155" s="85"/>
      <c r="L155" s="85"/>
      <c r="M155" s="85"/>
      <c r="N155" s="85"/>
      <c r="Q155" s="110"/>
      <c r="R155" s="22" t="s">
        <v>75</v>
      </c>
      <c r="S155" s="111"/>
      <c r="T155" s="139"/>
      <c r="U155" s="140"/>
      <c r="V155" s="139">
        <f>T125</f>
        <v>900000</v>
      </c>
      <c r="W155" s="140"/>
      <c r="X155" s="117"/>
      <c r="Y155" s="85"/>
    </row>
    <row r="156" spans="2:25" ht="13.5" thickBot="1">
      <c r="B156" s="110"/>
      <c r="C156" s="18" t="s">
        <v>93</v>
      </c>
      <c r="D156" s="111"/>
      <c r="E156" s="118"/>
      <c r="F156" s="119"/>
      <c r="G156" s="118"/>
      <c r="H156" s="119"/>
      <c r="I156" s="120">
        <f>E153+E154+E155-G153-G154-G155</f>
        <v>0</v>
      </c>
      <c r="J156" s="85"/>
      <c r="K156" s="85"/>
      <c r="L156" s="85"/>
      <c r="M156" s="85"/>
      <c r="N156" s="85"/>
      <c r="Q156" s="110"/>
      <c r="R156" s="18" t="s">
        <v>93</v>
      </c>
      <c r="S156" s="111"/>
      <c r="T156" s="118"/>
      <c r="U156" s="119"/>
      <c r="V156" s="118"/>
      <c r="W156" s="119"/>
      <c r="X156" s="120">
        <f>T153+T154+T155-V153-V154-V155</f>
        <v>-870000</v>
      </c>
      <c r="Y156" s="85"/>
    </row>
    <row r="157" spans="2:25" ht="13.5" thickTop="1">
      <c r="B157" s="110"/>
      <c r="C157" s="23" t="s">
        <v>94</v>
      </c>
      <c r="D157" s="111"/>
      <c r="E157" s="118"/>
      <c r="F157" s="119"/>
      <c r="G157" s="135"/>
      <c r="H157" s="136"/>
      <c r="I157" s="114">
        <f>I145+I150+I156</f>
        <v>0</v>
      </c>
      <c r="J157" s="85"/>
      <c r="K157" s="85"/>
      <c r="L157" s="85"/>
      <c r="M157" s="85"/>
      <c r="N157" s="85"/>
      <c r="Q157" s="110"/>
      <c r="R157" s="23" t="s">
        <v>94</v>
      </c>
      <c r="S157" s="111"/>
      <c r="T157" s="118"/>
      <c r="U157" s="119"/>
      <c r="V157" s="135"/>
      <c r="W157" s="136"/>
      <c r="X157" s="114">
        <f>X145+X150+X156</f>
        <v>530000</v>
      </c>
      <c r="Y157" s="85"/>
    </row>
    <row r="158" spans="2:25">
      <c r="B158" s="110"/>
      <c r="C158" s="23"/>
      <c r="D158" s="111"/>
      <c r="E158" s="118"/>
      <c r="F158" s="119"/>
      <c r="G158" s="118"/>
      <c r="H158" s="119"/>
      <c r="I158" s="112"/>
      <c r="J158" s="85"/>
      <c r="K158" s="85"/>
      <c r="L158" s="85"/>
      <c r="M158" s="85"/>
      <c r="N158" s="85"/>
      <c r="Q158" s="110"/>
      <c r="R158" s="23"/>
      <c r="S158" s="111"/>
      <c r="T158" s="118"/>
      <c r="U158" s="119"/>
      <c r="V158" s="118"/>
      <c r="W158" s="119"/>
      <c r="X158" s="112"/>
      <c r="Y158" s="85"/>
    </row>
    <row r="159" spans="2:25">
      <c r="B159" s="110"/>
      <c r="C159" s="18" t="s">
        <v>55</v>
      </c>
      <c r="D159" s="111"/>
      <c r="E159" s="135"/>
      <c r="F159" s="136"/>
      <c r="G159" s="135"/>
      <c r="H159" s="136"/>
      <c r="I159" s="112"/>
      <c r="J159" s="85"/>
      <c r="K159" s="85"/>
      <c r="L159" s="85"/>
      <c r="M159" s="85"/>
      <c r="N159" s="85"/>
      <c r="Q159" s="110"/>
      <c r="R159" s="18" t="s">
        <v>55</v>
      </c>
      <c r="S159" s="111"/>
      <c r="T159" s="135"/>
      <c r="U159" s="136"/>
      <c r="V159" s="135"/>
      <c r="W159" s="136"/>
      <c r="X159" s="112"/>
      <c r="Y159" s="85"/>
    </row>
    <row r="160" spans="2:25">
      <c r="B160" s="110"/>
      <c r="C160" s="115" t="s">
        <v>100</v>
      </c>
      <c r="D160" s="111"/>
      <c r="E160" s="137"/>
      <c r="F160" s="138"/>
      <c r="G160" s="137"/>
      <c r="H160" s="138"/>
      <c r="I160" s="112"/>
      <c r="J160" s="85"/>
      <c r="K160" s="85"/>
      <c r="L160" s="85"/>
      <c r="M160" s="85"/>
      <c r="N160" s="85"/>
      <c r="Q160" s="110"/>
      <c r="R160" s="115" t="s">
        <v>100</v>
      </c>
      <c r="S160" s="111"/>
      <c r="T160" s="135">
        <f>V126</f>
        <v>300000</v>
      </c>
      <c r="U160" s="136"/>
      <c r="V160" s="135">
        <f>T118</f>
        <v>300000</v>
      </c>
      <c r="W160" s="136"/>
      <c r="X160" s="112"/>
      <c r="Y160" s="85"/>
    </row>
    <row r="161" spans="2:25">
      <c r="B161" s="110"/>
      <c r="C161" s="121"/>
      <c r="D161" s="111"/>
      <c r="E161" s="135"/>
      <c r="F161" s="136"/>
      <c r="G161" s="135"/>
      <c r="H161" s="136"/>
      <c r="I161" s="112"/>
      <c r="J161" s="85"/>
      <c r="K161" s="85"/>
      <c r="L161" s="85"/>
      <c r="M161" s="85"/>
      <c r="N161" s="85"/>
      <c r="Q161" s="110"/>
      <c r="R161" s="121"/>
      <c r="S161" s="111"/>
      <c r="T161" s="135"/>
      <c r="U161" s="136"/>
      <c r="V161" s="135"/>
      <c r="W161" s="136"/>
      <c r="X161" s="112"/>
      <c r="Y161" s="85"/>
    </row>
    <row r="162" spans="2:25">
      <c r="B162" s="110"/>
      <c r="C162" s="18"/>
      <c r="D162" s="111"/>
      <c r="E162" s="135"/>
      <c r="F162" s="136"/>
      <c r="G162" s="135"/>
      <c r="H162" s="136"/>
      <c r="I162" s="112"/>
      <c r="J162" s="85"/>
      <c r="K162" s="85"/>
      <c r="L162" s="85"/>
      <c r="M162" s="85"/>
      <c r="N162" s="85"/>
      <c r="Q162" s="110"/>
      <c r="R162" s="18"/>
      <c r="S162" s="111"/>
      <c r="T162" s="135"/>
      <c r="U162" s="136"/>
      <c r="V162" s="135"/>
      <c r="W162" s="136"/>
      <c r="X162" s="112"/>
      <c r="Y162" s="85"/>
    </row>
    <row r="163" spans="2:25">
      <c r="B163" s="122"/>
      <c r="C163" s="123"/>
      <c r="D163" s="124"/>
      <c r="E163" s="125"/>
      <c r="F163" s="126"/>
      <c r="G163" s="125"/>
      <c r="H163" s="126"/>
      <c r="I163" s="126"/>
      <c r="J163" s="127"/>
      <c r="K163" s="127"/>
      <c r="L163" s="127"/>
      <c r="M163" s="127"/>
      <c r="N163" s="127"/>
      <c r="Q163" s="122"/>
      <c r="R163" s="123"/>
      <c r="S163" s="124"/>
      <c r="T163" s="125"/>
      <c r="U163" s="126"/>
      <c r="V163" s="125"/>
      <c r="W163" s="126"/>
      <c r="X163" s="126"/>
      <c r="Y163" s="127"/>
    </row>
    <row r="164" spans="2:25">
      <c r="B164" s="127"/>
      <c r="C164" s="127"/>
      <c r="D164" s="127"/>
      <c r="E164" s="128"/>
      <c r="F164" s="127"/>
      <c r="G164" s="128"/>
      <c r="H164" s="127"/>
      <c r="I164" s="127"/>
      <c r="J164" s="127"/>
      <c r="K164" s="127"/>
      <c r="L164" s="127"/>
      <c r="M164" s="127"/>
      <c r="N164" s="127"/>
      <c r="Q164" s="127"/>
      <c r="R164" s="127"/>
      <c r="S164" s="127"/>
      <c r="T164" s="128"/>
      <c r="U164" s="127"/>
      <c r="V164" s="128"/>
      <c r="W164" s="127"/>
      <c r="X164" s="127"/>
      <c r="Y164" s="127"/>
    </row>
    <row r="165" spans="2:25"/>
  </sheetData>
  <sheetProtection algorithmName="SHA-512" hashValue="POX1cdtc9RM4tDReaYh66rCWQc60ZmHbcIH7GGCK3aPYLSF9IwwpI3SDESuV0E+KWlHgAyu01t0X+eYJbysFUA==" saltValue="/oSJYArUl3XADO6Ep3WViQ==" spinCount="100000" sheet="1" objects="1" scenarios="1"/>
  <scenarios current="0">
    <scenario name="200" count="1" user="Greg Schenk" comment="Created by Greg Schenk on 10/21/2017">
      <inputCells r="V49" val="2025344.82758621" numFmtId="42"/>
    </scenario>
  </scenarios>
  <sortState ref="N137:N149">
    <sortCondition ref="N137"/>
  </sortState>
  <mergeCells count="175">
    <mergeCell ref="T162:U162"/>
    <mergeCell ref="V148:W148"/>
    <mergeCell ref="V162:W162"/>
    <mergeCell ref="V157:W157"/>
    <mergeCell ref="Q134:X134"/>
    <mergeCell ref="T138:U138"/>
    <mergeCell ref="T139:U139"/>
    <mergeCell ref="T140:U140"/>
    <mergeCell ref="T141:U141"/>
    <mergeCell ref="T142:U142"/>
    <mergeCell ref="T143:U143"/>
    <mergeCell ref="T144:U144"/>
    <mergeCell ref="T147:U147"/>
    <mergeCell ref="T149:U149"/>
    <mergeCell ref="T148:U148"/>
    <mergeCell ref="V161:W161"/>
    <mergeCell ref="T161:U161"/>
    <mergeCell ref="V138:W138"/>
    <mergeCell ref="V139:W139"/>
    <mergeCell ref="V140:W140"/>
    <mergeCell ref="V141:W141"/>
    <mergeCell ref="V142:W142"/>
    <mergeCell ref="V143:W143"/>
    <mergeCell ref="V144:W144"/>
    <mergeCell ref="Q1:X1"/>
    <mergeCell ref="Q3:X3"/>
    <mergeCell ref="Q5:W5"/>
    <mergeCell ref="Q6:W6"/>
    <mergeCell ref="Q7:W7"/>
    <mergeCell ref="Q133:X133"/>
    <mergeCell ref="T117:U117"/>
    <mergeCell ref="T118:U118"/>
    <mergeCell ref="T119:U119"/>
    <mergeCell ref="V117:W117"/>
    <mergeCell ref="V118:W118"/>
    <mergeCell ref="V119:W119"/>
    <mergeCell ref="T122:U122"/>
    <mergeCell ref="T123:U123"/>
    <mergeCell ref="T124:U124"/>
    <mergeCell ref="T125:U125"/>
    <mergeCell ref="T127:U127"/>
    <mergeCell ref="T128:U128"/>
    <mergeCell ref="T129:U129"/>
    <mergeCell ref="V122:W122"/>
    <mergeCell ref="V123:W123"/>
    <mergeCell ref="Q108:X108"/>
    <mergeCell ref="Q111:X111"/>
    <mergeCell ref="T112:U112"/>
    <mergeCell ref="AB4:AG5"/>
    <mergeCell ref="T114:U114"/>
    <mergeCell ref="T115:U115"/>
    <mergeCell ref="T116:U116"/>
    <mergeCell ref="V114:W114"/>
    <mergeCell ref="V115:W115"/>
    <mergeCell ref="V116:W116"/>
    <mergeCell ref="Q76:V76"/>
    <mergeCell ref="Q44:V44"/>
    <mergeCell ref="Q45:V45"/>
    <mergeCell ref="Q46:V46"/>
    <mergeCell ref="Q72:X72"/>
    <mergeCell ref="Q74:V74"/>
    <mergeCell ref="Q75:V75"/>
    <mergeCell ref="V112:W112"/>
    <mergeCell ref="V147:W147"/>
    <mergeCell ref="V149:W149"/>
    <mergeCell ref="V152:W152"/>
    <mergeCell ref="V154:W154"/>
    <mergeCell ref="V155:W155"/>
    <mergeCell ref="V159:W159"/>
    <mergeCell ref="V160:W160"/>
    <mergeCell ref="T152:U152"/>
    <mergeCell ref="T154:U154"/>
    <mergeCell ref="T155:U155"/>
    <mergeCell ref="T159:U159"/>
    <mergeCell ref="T160:U160"/>
    <mergeCell ref="T153:U153"/>
    <mergeCell ref="V153:W153"/>
    <mergeCell ref="B1:I1"/>
    <mergeCell ref="B3:I3"/>
    <mergeCell ref="B5:H5"/>
    <mergeCell ref="B6:H6"/>
    <mergeCell ref="B7:H7"/>
    <mergeCell ref="B44:G44"/>
    <mergeCell ref="B45:G45"/>
    <mergeCell ref="B46:G46"/>
    <mergeCell ref="B64:G64"/>
    <mergeCell ref="B108:I108"/>
    <mergeCell ref="B111:I111"/>
    <mergeCell ref="E112:F112"/>
    <mergeCell ref="G112:H112"/>
    <mergeCell ref="E114:F114"/>
    <mergeCell ref="G114:H114"/>
    <mergeCell ref="T136:U136"/>
    <mergeCell ref="V136:W136"/>
    <mergeCell ref="Q64:V64"/>
    <mergeCell ref="B72:I72"/>
    <mergeCell ref="B74:G74"/>
    <mergeCell ref="B75:G75"/>
    <mergeCell ref="B76:G76"/>
    <mergeCell ref="Q132:X132"/>
    <mergeCell ref="V124:W124"/>
    <mergeCell ref="V125:W125"/>
    <mergeCell ref="V127:W127"/>
    <mergeCell ref="V128:W128"/>
    <mergeCell ref="V129:W129"/>
    <mergeCell ref="T126:U126"/>
    <mergeCell ref="V126:W126"/>
    <mergeCell ref="E118:F118"/>
    <mergeCell ref="G118:H118"/>
    <mergeCell ref="E119:F119"/>
    <mergeCell ref="G119:H119"/>
    <mergeCell ref="E122:F122"/>
    <mergeCell ref="G122:H122"/>
    <mergeCell ref="E115:F115"/>
    <mergeCell ref="G115:H115"/>
    <mergeCell ref="E116:F116"/>
    <mergeCell ref="G116:H116"/>
    <mergeCell ref="E117:F117"/>
    <mergeCell ref="G117:H117"/>
    <mergeCell ref="E126:F126"/>
    <mergeCell ref="G126:H126"/>
    <mergeCell ref="E127:F127"/>
    <mergeCell ref="G127:H127"/>
    <mergeCell ref="E128:F128"/>
    <mergeCell ref="G128:H128"/>
    <mergeCell ref="E123:F123"/>
    <mergeCell ref="G123:H123"/>
    <mergeCell ref="E124:F124"/>
    <mergeCell ref="G124:H124"/>
    <mergeCell ref="E125:F125"/>
    <mergeCell ref="G125:H125"/>
    <mergeCell ref="E136:F136"/>
    <mergeCell ref="G136:H136"/>
    <mergeCell ref="E138:F138"/>
    <mergeCell ref="G138:H138"/>
    <mergeCell ref="E139:F139"/>
    <mergeCell ref="G139:H139"/>
    <mergeCell ref="E129:F129"/>
    <mergeCell ref="G129:H129"/>
    <mergeCell ref="B132:I132"/>
    <mergeCell ref="B133:I133"/>
    <mergeCell ref="B134:I134"/>
    <mergeCell ref="E143:F143"/>
    <mergeCell ref="G143:H143"/>
    <mergeCell ref="E144:F144"/>
    <mergeCell ref="G144:H144"/>
    <mergeCell ref="E147:F147"/>
    <mergeCell ref="G147:H147"/>
    <mergeCell ref="E140:F140"/>
    <mergeCell ref="G140:H140"/>
    <mergeCell ref="E141:F141"/>
    <mergeCell ref="G141:H141"/>
    <mergeCell ref="E142:F142"/>
    <mergeCell ref="G142:H142"/>
    <mergeCell ref="E153:F153"/>
    <mergeCell ref="G153:H153"/>
    <mergeCell ref="E154:F154"/>
    <mergeCell ref="G154:H154"/>
    <mergeCell ref="E155:F155"/>
    <mergeCell ref="G155:H155"/>
    <mergeCell ref="E148:F148"/>
    <mergeCell ref="G148:H148"/>
    <mergeCell ref="E149:F149"/>
    <mergeCell ref="G149:H149"/>
    <mergeCell ref="E152:F152"/>
    <mergeCell ref="G152:H152"/>
    <mergeCell ref="E161:F161"/>
    <mergeCell ref="G161:H161"/>
    <mergeCell ref="E162:F162"/>
    <mergeCell ref="G162:H162"/>
    <mergeCell ref="G157:H157"/>
    <mergeCell ref="E159:F159"/>
    <mergeCell ref="G159:H159"/>
    <mergeCell ref="E160:F160"/>
    <mergeCell ref="G160:H160"/>
  </mergeCells>
  <conditionalFormatting sqref="G79">
    <cfRule type="cellIs" dxfId="55" priority="73" operator="notEqual">
      <formula>V79</formula>
    </cfRule>
  </conditionalFormatting>
  <conditionalFormatting sqref="G99">
    <cfRule type="cellIs" dxfId="54" priority="72" operator="notEqual">
      <formula>V99</formula>
    </cfRule>
  </conditionalFormatting>
  <conditionalFormatting sqref="G100">
    <cfRule type="cellIs" dxfId="53" priority="71" operator="notEqual">
      <formula>V100</formula>
    </cfRule>
  </conditionalFormatting>
  <conditionalFormatting sqref="G101">
    <cfRule type="cellIs" dxfId="52" priority="70" operator="notEqual">
      <formula>V101</formula>
    </cfRule>
  </conditionalFormatting>
  <conditionalFormatting sqref="G104">
    <cfRule type="cellIs" dxfId="51" priority="69" operator="notEqual">
      <formula>V104</formula>
    </cfRule>
  </conditionalFormatting>
  <conditionalFormatting sqref="C79">
    <cfRule type="cellIs" dxfId="50" priority="68" operator="notEqual">
      <formula>R79</formula>
    </cfRule>
  </conditionalFormatting>
  <conditionalFormatting sqref="C104">
    <cfRule type="cellIs" dxfId="49" priority="67" operator="notEqual">
      <formula>R104</formula>
    </cfRule>
  </conditionalFormatting>
  <conditionalFormatting sqref="E81">
    <cfRule type="cellIs" dxfId="48" priority="66" operator="notEqual">
      <formula>M81</formula>
    </cfRule>
  </conditionalFormatting>
  <conditionalFormatting sqref="E82">
    <cfRule type="cellIs" dxfId="47" priority="65" operator="notEqual">
      <formula>M82</formula>
    </cfRule>
  </conditionalFormatting>
  <conditionalFormatting sqref="E83">
    <cfRule type="cellIs" dxfId="46" priority="64" operator="notEqual">
      <formula>M83</formula>
    </cfRule>
  </conditionalFormatting>
  <conditionalFormatting sqref="E84">
    <cfRule type="cellIs" dxfId="45" priority="63" operator="notEqual">
      <formula>M84</formula>
    </cfRule>
  </conditionalFormatting>
  <conditionalFormatting sqref="E85">
    <cfRule type="cellIs" dxfId="44" priority="62" operator="notEqual">
      <formula>M85</formula>
    </cfRule>
  </conditionalFormatting>
  <conditionalFormatting sqref="E89">
    <cfRule type="cellIs" dxfId="43" priority="61" operator="notEqual">
      <formula>M89</formula>
    </cfRule>
  </conditionalFormatting>
  <conditionalFormatting sqref="E90">
    <cfRule type="cellIs" dxfId="42" priority="60" operator="notEqual">
      <formula>M90</formula>
    </cfRule>
  </conditionalFormatting>
  <conditionalFormatting sqref="E94">
    <cfRule type="cellIs" dxfId="41" priority="59" operator="notEqual">
      <formula>M94</formula>
    </cfRule>
  </conditionalFormatting>
  <conditionalFormatting sqref="E95">
    <cfRule type="cellIs" dxfId="40" priority="58" operator="notEqual">
      <formula>M95</formula>
    </cfRule>
  </conditionalFormatting>
  <conditionalFormatting sqref="E96">
    <cfRule type="cellIs" dxfId="39" priority="57" operator="notEqual">
      <formula>M96</formula>
    </cfRule>
  </conditionalFormatting>
  <conditionalFormatting sqref="C81">
    <cfRule type="expression" dxfId="38" priority="56">
      <formula>NOT(OR(C81=$R$81,C81=$R$82,C81=$R$83,C81=$R$84,C81=$R$85))</formula>
    </cfRule>
  </conditionalFormatting>
  <conditionalFormatting sqref="C82">
    <cfRule type="expression" dxfId="37" priority="55">
      <formula>NOT(OR(C82=$R$81,C82=$R$82,C82=$R$83,C82=$R$84,C82=$R$85))</formula>
    </cfRule>
  </conditionalFormatting>
  <conditionalFormatting sqref="C83">
    <cfRule type="expression" dxfId="36" priority="54">
      <formula>NOT(OR(C83=$R$81,C83=$R$82,C83=$R$83,C83=$R$84,C83=$R$85))</formula>
    </cfRule>
  </conditionalFormatting>
  <conditionalFormatting sqref="C84">
    <cfRule type="expression" dxfId="35" priority="53">
      <formula>NOT(OR(C84=$R$81,C84=$R$82,C84=$R$83,C84=$R$84,C84=$R$85))</formula>
    </cfRule>
  </conditionalFormatting>
  <conditionalFormatting sqref="C85">
    <cfRule type="expression" dxfId="34" priority="52">
      <formula>NOT(OR(C85=$R$81,C85=$R$82,C85=$R$83,C85=$R$84,C85=$R$85))</formula>
    </cfRule>
  </conditionalFormatting>
  <conditionalFormatting sqref="C89">
    <cfRule type="expression" dxfId="33" priority="51">
      <formula>NOT(OR(C89=$R$89,C89=$R$90))</formula>
    </cfRule>
  </conditionalFormatting>
  <conditionalFormatting sqref="C90">
    <cfRule type="expression" dxfId="32" priority="50">
      <formula>NOT(OR(C90=$R$89,C90=$R$90))</formula>
    </cfRule>
  </conditionalFormatting>
  <conditionalFormatting sqref="C94">
    <cfRule type="expression" dxfId="31" priority="49">
      <formula>NOT(OR(C94=$R$94,C94=$R$95,C94=$R$96))</formula>
    </cfRule>
  </conditionalFormatting>
  <conditionalFormatting sqref="C95">
    <cfRule type="expression" dxfId="30" priority="48">
      <formula>NOT(OR(C95=$R$94,C95=$R$95,C95=$R$96))</formula>
    </cfRule>
  </conditionalFormatting>
  <conditionalFormatting sqref="C96">
    <cfRule type="expression" dxfId="29" priority="47">
      <formula>NOT(OR(C96=$R$94,C96=$R$95,C96=$R$96))</formula>
    </cfRule>
  </conditionalFormatting>
  <conditionalFormatting sqref="E114:F114">
    <cfRule type="cellIs" dxfId="28" priority="46" operator="notEqual">
      <formula>T114</formula>
    </cfRule>
  </conditionalFormatting>
  <conditionalFormatting sqref="E115:F115">
    <cfRule type="cellIs" dxfId="27" priority="45" operator="notEqual">
      <formula>T115</formula>
    </cfRule>
  </conditionalFormatting>
  <conditionalFormatting sqref="E118:F118">
    <cfRule type="cellIs" dxfId="26" priority="39" operator="notEqual">
      <formula>T118</formula>
    </cfRule>
  </conditionalFormatting>
  <conditionalFormatting sqref="E119:F119">
    <cfRule type="cellIs" dxfId="25" priority="38" operator="notEqual">
      <formula>T119</formula>
    </cfRule>
  </conditionalFormatting>
  <conditionalFormatting sqref="G116:H116">
    <cfRule type="cellIs" dxfId="24" priority="35" operator="notEqual">
      <formula>V116</formula>
    </cfRule>
  </conditionalFormatting>
  <conditionalFormatting sqref="G117:H117">
    <cfRule type="cellIs" dxfId="23" priority="34" operator="notEqual">
      <formula>V117</formula>
    </cfRule>
  </conditionalFormatting>
  <conditionalFormatting sqref="E124:F124">
    <cfRule type="cellIs" dxfId="22" priority="29" operator="notEqual">
      <formula>T124</formula>
    </cfRule>
  </conditionalFormatting>
  <conditionalFormatting sqref="E125:F125">
    <cfRule type="cellIs" dxfId="21" priority="28" operator="notEqual">
      <formula>T125</formula>
    </cfRule>
  </conditionalFormatting>
  <conditionalFormatting sqref="E129:F129">
    <cfRule type="cellIs" dxfId="20" priority="24" operator="notEqual">
      <formula>T129</formula>
    </cfRule>
  </conditionalFormatting>
  <conditionalFormatting sqref="G122:H122">
    <cfRule type="cellIs" dxfId="19" priority="23" operator="notEqual">
      <formula>V122</formula>
    </cfRule>
  </conditionalFormatting>
  <conditionalFormatting sqref="G123:H123">
    <cfRule type="cellIs" dxfId="18" priority="22" operator="notEqual">
      <formula>V123</formula>
    </cfRule>
  </conditionalFormatting>
  <conditionalFormatting sqref="G126:H126">
    <cfRule type="cellIs" dxfId="17" priority="18" operator="notEqual">
      <formula>V126</formula>
    </cfRule>
  </conditionalFormatting>
  <conditionalFormatting sqref="G127:H127">
    <cfRule type="cellIs" dxfId="16" priority="17" operator="notEqual">
      <formula>V127</formula>
    </cfRule>
  </conditionalFormatting>
  <conditionalFormatting sqref="G128:H128">
    <cfRule type="cellIs" dxfId="15" priority="16" operator="notEqual">
      <formula>V128</formula>
    </cfRule>
  </conditionalFormatting>
  <conditionalFormatting sqref="G129:H129">
    <cfRule type="cellIs" dxfId="14" priority="15" operator="notEqual">
      <formula>V129</formula>
    </cfRule>
  </conditionalFormatting>
  <conditionalFormatting sqref="E138:F138">
    <cfRule type="cellIs" dxfId="13" priority="14" operator="notEqual">
      <formula>T138</formula>
    </cfRule>
  </conditionalFormatting>
  <conditionalFormatting sqref="E139:F139">
    <cfRule type="cellIs" dxfId="12" priority="13" operator="notEqual">
      <formula>T139</formula>
    </cfRule>
  </conditionalFormatting>
  <conditionalFormatting sqref="G140:H140">
    <cfRule type="cellIs" dxfId="11" priority="12" operator="notEqual">
      <formula>V140</formula>
    </cfRule>
  </conditionalFormatting>
  <conditionalFormatting sqref="G141:H141">
    <cfRule type="cellIs" dxfId="10" priority="11" operator="notEqual">
      <formula>V141</formula>
    </cfRule>
  </conditionalFormatting>
  <conditionalFormatting sqref="E142:F142">
    <cfRule type="cellIs" dxfId="9" priority="10" operator="notEqual">
      <formula>T142</formula>
    </cfRule>
  </conditionalFormatting>
  <conditionalFormatting sqref="E143:F143">
    <cfRule type="cellIs" dxfId="8" priority="9" operator="notEqual">
      <formula>T143</formula>
    </cfRule>
  </conditionalFormatting>
  <conditionalFormatting sqref="G144:H144">
    <cfRule type="cellIs" dxfId="7" priority="8" operator="notEqual">
      <formula>V144</formula>
    </cfRule>
  </conditionalFormatting>
  <conditionalFormatting sqref="E148:F148">
    <cfRule type="cellIs" dxfId="6" priority="7" operator="notEqual">
      <formula>T148</formula>
    </cfRule>
  </conditionalFormatting>
  <conditionalFormatting sqref="G149:H149">
    <cfRule type="cellIs" dxfId="5" priority="6" operator="notEqual">
      <formula>V149</formula>
    </cfRule>
  </conditionalFormatting>
  <conditionalFormatting sqref="E153:F153">
    <cfRule type="cellIs" dxfId="4" priority="5" operator="notEqual">
      <formula>T153</formula>
    </cfRule>
  </conditionalFormatting>
  <conditionalFormatting sqref="G154:H154">
    <cfRule type="cellIs" dxfId="3" priority="4" operator="notEqual">
      <formula>V154</formula>
    </cfRule>
  </conditionalFormatting>
  <conditionalFormatting sqref="G155:H155">
    <cfRule type="cellIs" dxfId="2" priority="3" operator="notEqual">
      <formula>V155</formula>
    </cfRule>
  </conditionalFormatting>
  <conditionalFormatting sqref="E160:F160">
    <cfRule type="cellIs" dxfId="1" priority="2" operator="notEqual">
      <formula>T160</formula>
    </cfRule>
  </conditionalFormatting>
  <conditionalFormatting sqref="G160:H160">
    <cfRule type="cellIs" dxfId="0" priority="1" operator="notEqual">
      <formula>V160</formula>
    </cfRule>
  </conditionalFormatting>
  <dataValidations count="4">
    <dataValidation type="list" showInputMessage="1" showErrorMessage="1" sqref="G79 E81:E85 E89:E90 E94:E96 G104 G99:G101" xr:uid="{00000000-0002-0000-0100-000000000000}">
      <formula1>Direct</formula1>
    </dataValidation>
    <dataValidation type="list" showInputMessage="1" showErrorMessage="1" sqref="C104 C94:C96 C89:C90 C81:C85 C79" xr:uid="{00000000-0002-0000-0100-000001000000}">
      <formula1>account1</formula1>
    </dataValidation>
    <dataValidation type="list" showInputMessage="1" showErrorMessage="1" sqref="G116:H117 E118:F119 E114:F115 G126:H129 G122:H123 E124:F125 E129:F129" xr:uid="{00000000-0002-0000-0100-000002000000}">
      <formula1>Schedule</formula1>
    </dataValidation>
    <dataValidation type="list" showInputMessage="1" showErrorMessage="1" sqref="E138:F139 G140:H141 E142:F143 G144:H144 E148:F148 G149:H149 E153:F153 G154:H155 E160:H160" xr:uid="{00000000-0002-0000-0100-000003000000}">
      <formula1>Indirect</formula1>
    </dataValidation>
  </dataValidations>
  <pageMargins left="0.7" right="0.7" top="0.75" bottom="0.75" header="0.3" footer="0.3"/>
  <pageSetup orientation="portrait" horizontalDpi="4294967292" verticalDpi="4294967292" r:id="rId1"/>
  <ignoredErrors>
    <ignoredError sqref="E19:G19" 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Identification</vt:lpstr>
      <vt:lpstr>Problem</vt:lpstr>
      <vt:lpstr>account1</vt:lpstr>
      <vt:lpstr>Account2</vt:lpstr>
      <vt:lpstr>Direct</vt:lpstr>
      <vt:lpstr>Indirect</vt:lpstr>
      <vt:lpstr>Schedule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Larry Walther</cp:lastModifiedBy>
  <dcterms:created xsi:type="dcterms:W3CDTF">2017-08-15T23:14:48Z</dcterms:created>
  <dcterms:modified xsi:type="dcterms:W3CDTF">2018-01-02T16:56:05Z</dcterms:modified>
</cp:coreProperties>
</file>