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arry\Desktop\"/>
    </mc:Choice>
  </mc:AlternateContent>
  <workbookProtection workbookAlgorithmName="SHA-512" workbookHashValue="vbxIHAKTy22HfWiHiBxlMJW7MUZjgv8unZ3Z0diCTkubQYUP9UVT4ojOVRqJPlVe7LJFiyKz5dQb1c8mdJUBnw==" workbookSaltValue="QHMpsDZ8KCyeQu/19mVAHg==" workbookSpinCount="100000" lockStructure="1"/>
  <bookViews>
    <workbookView xWindow="0" yWindow="0" windowWidth="28800" windowHeight="10875"/>
  </bookViews>
  <sheets>
    <sheet name="Identification" sheetId="20" r:id="rId1"/>
    <sheet name=" Problem (gross method)" sheetId="1" r:id="rId2"/>
    <sheet name=" Problem (net method)" sheetId="21" r:id="rId3"/>
  </sheets>
  <definedNames>
    <definedName name="accounts" localSheetId="2">' Problem (net method)'!$P$49:$P$59</definedName>
    <definedName name="accounts">' Problem (gross method)'!$P$49:$P$59</definedName>
  </definedNames>
  <calcPr calcId="152511"/>
</workbook>
</file>

<file path=xl/calcChain.xml><?xml version="1.0" encoding="utf-8"?>
<calcChain xmlns="http://schemas.openxmlformats.org/spreadsheetml/2006/main">
  <c r="D27" i="21" l="1"/>
  <c r="H28" i="21"/>
  <c r="AE21" i="21" l="1"/>
  <c r="H36" i="21" l="1"/>
  <c r="F36" i="21"/>
  <c r="H35" i="21"/>
  <c r="Z33" i="21"/>
  <c r="Y33" i="21"/>
  <c r="X33" i="21"/>
  <c r="Z32" i="21"/>
  <c r="Y32" i="21"/>
  <c r="X32" i="21"/>
  <c r="CX30" i="21"/>
  <c r="CY30" i="21" s="1"/>
  <c r="DA30" i="21" s="1"/>
  <c r="H29" i="21"/>
  <c r="DA27" i="21"/>
  <c r="CY27" i="21"/>
  <c r="CX27" i="21"/>
  <c r="CX29" i="21" s="1"/>
  <c r="CY29" i="21" s="1"/>
  <c r="DA29" i="21" s="1"/>
  <c r="H27" i="21"/>
  <c r="AC23" i="21"/>
  <c r="H22" i="21"/>
  <c r="F22" i="21"/>
  <c r="H21" i="21"/>
  <c r="DA20" i="21"/>
  <c r="CY20" i="21"/>
  <c r="CY19" i="21"/>
  <c r="DA19" i="21" s="1"/>
  <c r="CY18" i="21"/>
  <c r="DA18" i="21" s="1"/>
  <c r="H15" i="21"/>
  <c r="F15" i="21"/>
  <c r="E15" i="21"/>
  <c r="H14" i="21"/>
  <c r="E14" i="21"/>
  <c r="CY11" i="21"/>
  <c r="DA11" i="21" s="1"/>
  <c r="T11" i="21"/>
  <c r="H8" i="21"/>
  <c r="F8" i="21"/>
  <c r="H7" i="21"/>
  <c r="CY4" i="21"/>
  <c r="DA4" i="21" s="1"/>
  <c r="X3" i="21"/>
  <c r="V3" i="21"/>
  <c r="T3" i="21"/>
  <c r="CY2" i="21"/>
  <c r="DA2" i="21" s="1"/>
  <c r="X3" i="1"/>
  <c r="V3" i="1"/>
  <c r="B3" i="20" l="1"/>
  <c r="H36" i="1"/>
  <c r="H35" i="1"/>
  <c r="H28" i="1"/>
  <c r="H29" i="1"/>
  <c r="H27" i="1"/>
  <c r="F29" i="1"/>
  <c r="H22" i="1" l="1"/>
  <c r="H21" i="1"/>
  <c r="H15" i="1"/>
  <c r="H14" i="1"/>
  <c r="AE21" i="1"/>
  <c r="H8" i="1"/>
  <c r="H7" i="1"/>
  <c r="AC23" i="1" l="1"/>
  <c r="T11" i="1" l="1"/>
  <c r="T3" i="1"/>
  <c r="CY4" i="1" l="1"/>
  <c r="DA4" i="1" s="1"/>
  <c r="CY2" i="1"/>
  <c r="DA2" i="1" s="1"/>
  <c r="F36" i="1"/>
  <c r="CY11" i="1" l="1"/>
  <c r="DA11" i="1" s="1"/>
  <c r="F22" i="1"/>
  <c r="CY18" i="1" l="1"/>
  <c r="DA18" i="1" s="1"/>
  <c r="CY19" i="1"/>
  <c r="DA19" i="1" s="1"/>
  <c r="CY20" i="1" l="1"/>
  <c r="DA20" i="1" s="1"/>
  <c r="CX27" i="1"/>
  <c r="E15" i="1"/>
  <c r="E14" i="1"/>
  <c r="Y32" i="1"/>
  <c r="Z32" i="1"/>
  <c r="Y33" i="1"/>
  <c r="Z33" i="1"/>
  <c r="X32" i="1"/>
  <c r="X33" i="1"/>
  <c r="CX30" i="1" l="1"/>
  <c r="CY30" i="1" s="1"/>
  <c r="DA30" i="1" s="1"/>
  <c r="CX29" i="1"/>
  <c r="CY29" i="1" s="1"/>
  <c r="DA29" i="1" s="1"/>
  <c r="CY27" i="1"/>
  <c r="DA27" i="1" s="1"/>
  <c r="B8" i="20"/>
  <c r="B9" i="20" s="1"/>
  <c r="B10" i="20"/>
  <c r="B11" i="20" s="1"/>
  <c r="B13" i="20"/>
  <c r="B14" i="20" s="1"/>
  <c r="B16" i="20"/>
  <c r="B17" i="20" s="1"/>
  <c r="B19" i="20"/>
  <c r="B20" i="20" s="1"/>
  <c r="B21" i="20" l="1"/>
  <c r="F71" i="20"/>
  <c r="B18" i="20"/>
  <c r="E71" i="20"/>
  <c r="B15" i="20"/>
  <c r="G71" i="20"/>
  <c r="B12" i="20"/>
  <c r="P29" i="1" l="1"/>
  <c r="P34" i="1" s="1"/>
  <c r="P29" i="21"/>
  <c r="Q29" i="1"/>
  <c r="Q34" i="1" s="1"/>
  <c r="Q29" i="21"/>
  <c r="Q34" i="21" s="1"/>
  <c r="R29" i="1"/>
  <c r="R34" i="1" s="1"/>
  <c r="R29" i="21"/>
  <c r="R34" i="21" s="1"/>
  <c r="B23" i="20"/>
  <c r="C58" i="20" s="1"/>
  <c r="F72" i="20"/>
  <c r="Q30" i="21" s="1"/>
  <c r="Q35" i="21" s="1"/>
  <c r="G72" i="20"/>
  <c r="R30" i="21" s="1"/>
  <c r="R35" i="21" s="1"/>
  <c r="E72" i="20"/>
  <c r="P30" i="21" s="1"/>
  <c r="P34" i="21" l="1"/>
  <c r="W29" i="21"/>
  <c r="Z29" i="21" s="1"/>
  <c r="P11" i="21" s="1"/>
  <c r="P35" i="21"/>
  <c r="Q30" i="1"/>
  <c r="Q35" i="1" s="1"/>
  <c r="P30" i="1"/>
  <c r="P35" i="1" s="1"/>
  <c r="R30" i="1"/>
  <c r="R35" i="1" s="1"/>
  <c r="C31" i="20"/>
  <c r="C52" i="20"/>
  <c r="C41" i="20"/>
  <c r="C39" i="20"/>
  <c r="C67" i="20"/>
  <c r="C37" i="20"/>
  <c r="C42" i="20"/>
  <c r="C32" i="20"/>
  <c r="C62" i="20"/>
  <c r="C36" i="20"/>
  <c r="C38" i="20"/>
  <c r="C68" i="20"/>
  <c r="C59" i="20"/>
  <c r="C69" i="20"/>
  <c r="C60" i="20"/>
  <c r="C48" i="20"/>
  <c r="C49" i="20"/>
  <c r="C29" i="20"/>
  <c r="C40" i="20"/>
  <c r="C57" i="20"/>
  <c r="C26" i="20"/>
  <c r="C35" i="20"/>
  <c r="C53" i="20"/>
  <c r="C70" i="20"/>
  <c r="C27" i="20"/>
  <c r="D71" i="20"/>
  <c r="O29" i="21" s="1"/>
  <c r="C51" i="20"/>
  <c r="C43" i="20"/>
  <c r="C30" i="20"/>
  <c r="C55" i="20"/>
  <c r="C63" i="20"/>
  <c r="C44" i="20"/>
  <c r="C56" i="20"/>
  <c r="C45" i="20"/>
  <c r="C28" i="20"/>
  <c r="C54" i="20"/>
  <c r="C61" i="20"/>
  <c r="C34" i="20"/>
  <c r="C66" i="20"/>
  <c r="C47" i="20"/>
  <c r="C46" i="20"/>
  <c r="C64" i="20"/>
  <c r="C33" i="20"/>
  <c r="C65" i="20"/>
  <c r="C50" i="20"/>
  <c r="M11" i="21" l="1"/>
  <c r="O34" i="21"/>
  <c r="W34" i="21"/>
  <c r="Z34" i="21" s="1"/>
  <c r="P18" i="21" s="1"/>
  <c r="W29" i="1"/>
  <c r="Z29" i="1" s="1"/>
  <c r="M11" i="1" s="1"/>
  <c r="D72" i="20"/>
  <c r="O29" i="1"/>
  <c r="O34" i="1" s="1"/>
  <c r="W34" i="1"/>
  <c r="Z34" i="1" s="1"/>
  <c r="C71" i="20"/>
  <c r="N29" i="1" l="1"/>
  <c r="N29" i="21"/>
  <c r="O30" i="1"/>
  <c r="O35" i="1" s="1"/>
  <c r="O30" i="21"/>
  <c r="M18" i="21"/>
  <c r="C72" i="20"/>
  <c r="P11" i="1"/>
  <c r="M18" i="1"/>
  <c r="P18" i="1"/>
  <c r="H71" i="20"/>
  <c r="V29" i="1"/>
  <c r="O35" i="21" l="1"/>
  <c r="V29" i="21"/>
  <c r="H72" i="20"/>
  <c r="S30" i="21" s="1"/>
  <c r="S35" i="21" s="1"/>
  <c r="S29" i="21"/>
  <c r="S34" i="21" s="1"/>
  <c r="CZ30" i="21"/>
  <c r="AA11" i="21"/>
  <c r="BZ4" i="21"/>
  <c r="AA4" i="21"/>
  <c r="BA14" i="21"/>
  <c r="AA2" i="21"/>
  <c r="CZ18" i="21"/>
  <c r="CW18" i="21" s="1"/>
  <c r="CZ4" i="21"/>
  <c r="CW4" i="21" s="1"/>
  <c r="BZ19" i="21"/>
  <c r="L11" i="21"/>
  <c r="BA12" i="21"/>
  <c r="BA21" i="21"/>
  <c r="AA19" i="21"/>
  <c r="BZ2" i="21"/>
  <c r="L19" i="21"/>
  <c r="L4" i="21"/>
  <c r="CZ11" i="21"/>
  <c r="CW11" i="21" s="1"/>
  <c r="BZ20" i="21"/>
  <c r="CZ19" i="21"/>
  <c r="CW19" i="21" s="1"/>
  <c r="CZ2" i="21"/>
  <c r="AA20" i="21"/>
  <c r="L2" i="21"/>
  <c r="L18" i="21"/>
  <c r="BA30" i="21"/>
  <c r="CZ20" i="21"/>
  <c r="CW20" i="21" s="1"/>
  <c r="BA31" i="21"/>
  <c r="U29" i="21"/>
  <c r="X29" i="21" s="1"/>
  <c r="AA18" i="21"/>
  <c r="BZ18" i="21"/>
  <c r="L20" i="21"/>
  <c r="BZ11" i="21"/>
  <c r="CZ27" i="21"/>
  <c r="CZ29" i="21"/>
  <c r="BA29" i="21"/>
  <c r="N34" i="21"/>
  <c r="N30" i="1"/>
  <c r="N35" i="1" s="1"/>
  <c r="N30" i="21"/>
  <c r="C73" i="20"/>
  <c r="S30" i="1"/>
  <c r="S35" i="1" s="1"/>
  <c r="S29" i="1"/>
  <c r="S34" i="1" s="1"/>
  <c r="Y29" i="1"/>
  <c r="BX2" i="1"/>
  <c r="CE4" i="1" s="1"/>
  <c r="V34" i="1"/>
  <c r="H73" i="20" l="1"/>
  <c r="S31" i="21" s="1"/>
  <c r="S36" i="21" s="1"/>
  <c r="N31" i="21"/>
  <c r="N2" i="21"/>
  <c r="J2" i="21"/>
  <c r="Y29" i="21"/>
  <c r="BX2" i="21"/>
  <c r="N35" i="21"/>
  <c r="V34" i="21"/>
  <c r="DE2" i="21"/>
  <c r="CW2" i="21"/>
  <c r="CW21" i="21" s="1"/>
  <c r="G73" i="20"/>
  <c r="C74" i="20"/>
  <c r="G74" i="20" s="1"/>
  <c r="F73" i="20"/>
  <c r="Q31" i="21" s="1"/>
  <c r="Q36" i="21" s="1"/>
  <c r="E73" i="20"/>
  <c r="P31" i="21" s="1"/>
  <c r="D73" i="20"/>
  <c r="O31" i="21" s="1"/>
  <c r="N31" i="1"/>
  <c r="U30" i="1" s="1"/>
  <c r="X30" i="1" s="1"/>
  <c r="S31" i="1"/>
  <c r="S36" i="1" s="1"/>
  <c r="S6" i="1"/>
  <c r="BY2" i="1"/>
  <c r="CA2" i="1" s="1"/>
  <c r="BX4" i="1"/>
  <c r="CE5" i="1" s="1"/>
  <c r="Y34" i="1"/>
  <c r="BB12" i="1"/>
  <c r="BB29" i="1"/>
  <c r="F15" i="1"/>
  <c r="O31" i="1" l="1"/>
  <c r="Q31" i="1"/>
  <c r="Q36" i="1" s="1"/>
  <c r="P31" i="1"/>
  <c r="P36" i="1" s="1"/>
  <c r="H74" i="20"/>
  <c r="D74" i="20"/>
  <c r="O32" i="1" s="1"/>
  <c r="N36" i="1"/>
  <c r="E74" i="20"/>
  <c r="P32" i="1" s="1"/>
  <c r="P37" i="1" s="1"/>
  <c r="F74" i="20"/>
  <c r="Q32" i="1" s="1"/>
  <c r="Q37" i="1" s="1"/>
  <c r="R32" i="1"/>
  <c r="R37" i="1" s="1"/>
  <c r="R32" i="21"/>
  <c r="R37" i="21" s="1"/>
  <c r="R31" i="1"/>
  <c r="R36" i="1" s="1"/>
  <c r="R31" i="21"/>
  <c r="R36" i="21" s="1"/>
  <c r="B9" i="21"/>
  <c r="I2" i="21"/>
  <c r="A2" i="21"/>
  <c r="V30" i="21"/>
  <c r="Y30" i="21" s="1"/>
  <c r="O36" i="21"/>
  <c r="N36" i="21"/>
  <c r="U35" i="21" s="1"/>
  <c r="X35" i="21" s="1"/>
  <c r="U30" i="21"/>
  <c r="X30" i="21" s="1"/>
  <c r="P36" i="21"/>
  <c r="W30" i="21"/>
  <c r="Z30" i="21" s="1"/>
  <c r="P2" i="21" s="1"/>
  <c r="N32" i="1"/>
  <c r="N32" i="21"/>
  <c r="N37" i="21" s="1"/>
  <c r="BB12" i="21"/>
  <c r="BB29" i="21"/>
  <c r="Y34" i="21"/>
  <c r="BY2" i="21"/>
  <c r="CA2" i="21" s="1"/>
  <c r="BX4" i="21"/>
  <c r="CE4" i="21"/>
  <c r="CF4" i="21" s="1"/>
  <c r="U34" i="21"/>
  <c r="X34" i="21" s="1"/>
  <c r="V6" i="1"/>
  <c r="X6" i="1" s="1"/>
  <c r="AW18" i="1"/>
  <c r="BD29" i="1"/>
  <c r="AW15" i="1"/>
  <c r="BD12" i="1"/>
  <c r="O36" i="1"/>
  <c r="V35" i="1" s="1"/>
  <c r="V30" i="1"/>
  <c r="Y30" i="1" s="1"/>
  <c r="BY4" i="1"/>
  <c r="CA4" i="1" s="1"/>
  <c r="BX11" i="1"/>
  <c r="CE6" i="1" s="1"/>
  <c r="BC12" i="1"/>
  <c r="BE12" i="1" s="1"/>
  <c r="BC29" i="1"/>
  <c r="BE29" i="1" s="1"/>
  <c r="S7" i="1"/>
  <c r="W35" i="1"/>
  <c r="Z35" i="1" s="1"/>
  <c r="U35" i="1"/>
  <c r="X35" i="1" s="1"/>
  <c r="Q32" i="21" l="1"/>
  <c r="Q37" i="21" s="1"/>
  <c r="P32" i="21"/>
  <c r="P37" i="21" s="1"/>
  <c r="W36" i="1"/>
  <c r="Z36" i="1" s="1"/>
  <c r="W31" i="1"/>
  <c r="Z31" i="1" s="1"/>
  <c r="W30" i="1"/>
  <c r="Z30" i="1" s="1"/>
  <c r="M2" i="1" s="1"/>
  <c r="S4" i="1" s="1"/>
  <c r="V4" i="1" s="1"/>
  <c r="W31" i="21"/>
  <c r="Z31" i="21" s="1"/>
  <c r="O37" i="1"/>
  <c r="V36" i="1" s="1"/>
  <c r="V31" i="1"/>
  <c r="Y31" i="1" s="1"/>
  <c r="O32" i="21"/>
  <c r="S32" i="21"/>
  <c r="S37" i="21" s="1"/>
  <c r="S32" i="1"/>
  <c r="S37" i="1" s="1"/>
  <c r="N37" i="1"/>
  <c r="U36" i="1" s="1"/>
  <c r="X36" i="1" s="1"/>
  <c r="U31" i="1"/>
  <c r="X31" i="1" s="1"/>
  <c r="M2" i="21"/>
  <c r="V35" i="21"/>
  <c r="W36" i="21"/>
  <c r="Z36" i="21" s="1"/>
  <c r="P20" i="21" s="1"/>
  <c r="W35" i="21"/>
  <c r="Z35" i="21" s="1"/>
  <c r="P19" i="21" s="1"/>
  <c r="CE5" i="21"/>
  <c r="CF5" i="21" s="1"/>
  <c r="BX11" i="21"/>
  <c r="BY4" i="21"/>
  <c r="CA4" i="21" s="1"/>
  <c r="I3" i="21"/>
  <c r="H2" i="21"/>
  <c r="BC29" i="21"/>
  <c r="BE29" i="21" s="1"/>
  <c r="BD29" i="21"/>
  <c r="K25" i="21" s="1"/>
  <c r="AW18" i="21"/>
  <c r="AZ29" i="21"/>
  <c r="AZ12" i="21"/>
  <c r="BC12" i="21"/>
  <c r="BE12" i="21" s="1"/>
  <c r="AW15" i="21"/>
  <c r="BD12" i="21"/>
  <c r="K22" i="21" s="1"/>
  <c r="U31" i="21"/>
  <c r="X31" i="21" s="1"/>
  <c r="U36" i="21"/>
  <c r="X36" i="21" s="1"/>
  <c r="V7" i="1"/>
  <c r="X7" i="1" s="1"/>
  <c r="BB14" i="1"/>
  <c r="BD14" i="1" s="1"/>
  <c r="BB30" i="1"/>
  <c r="BD30" i="1" s="1"/>
  <c r="P2" i="1"/>
  <c r="M20" i="1"/>
  <c r="S9" i="1" s="1"/>
  <c r="P20" i="1"/>
  <c r="P19" i="1"/>
  <c r="M19" i="1"/>
  <c r="S8" i="1" s="1"/>
  <c r="K22" i="1"/>
  <c r="K25" i="1"/>
  <c r="BY11" i="1"/>
  <c r="CA11" i="1" s="1"/>
  <c r="BX18" i="1"/>
  <c r="CE7" i="1" s="1"/>
  <c r="Y35" i="1"/>
  <c r="F8" i="1"/>
  <c r="BB31" i="1" l="1"/>
  <c r="BD31" i="1" s="1"/>
  <c r="BB21" i="1"/>
  <c r="BD21" i="1" s="1"/>
  <c r="Y3" i="21"/>
  <c r="W11" i="21"/>
  <c r="S4" i="21"/>
  <c r="T4" i="21" s="1"/>
  <c r="O37" i="21"/>
  <c r="V36" i="21" s="1"/>
  <c r="BB21" i="21" s="1"/>
  <c r="V31" i="21"/>
  <c r="Y31" i="21" s="1"/>
  <c r="M19" i="21"/>
  <c r="S8" i="21" s="1"/>
  <c r="AY29" i="21"/>
  <c r="M20" i="21"/>
  <c r="S9" i="21" s="1"/>
  <c r="Y35" i="21"/>
  <c r="P4" i="21" s="1"/>
  <c r="S2" i="21" s="1"/>
  <c r="B4" i="21" s="1"/>
  <c r="BB30" i="21"/>
  <c r="BB14" i="21"/>
  <c r="AY12" i="21"/>
  <c r="W3" i="21"/>
  <c r="S6" i="21"/>
  <c r="S7" i="21"/>
  <c r="BB31" i="21"/>
  <c r="V4" i="21"/>
  <c r="W12" i="21" s="1"/>
  <c r="BX18" i="21"/>
  <c r="CE6" i="21"/>
  <c r="CF6" i="21" s="1"/>
  <c r="BY11" i="21"/>
  <c r="CA11" i="21" s="1"/>
  <c r="V8" i="1"/>
  <c r="X8" i="1" s="1"/>
  <c r="V9" i="1"/>
  <c r="X9" i="1" s="1"/>
  <c r="X4" i="1"/>
  <c r="Y36" i="1"/>
  <c r="M4" i="1"/>
  <c r="S5" i="1" s="1"/>
  <c r="P4" i="1"/>
  <c r="AW20" i="1"/>
  <c r="AW17" i="1"/>
  <c r="AW19" i="1"/>
  <c r="AW16" i="1"/>
  <c r="BY18" i="1"/>
  <c r="CA18" i="1" s="1"/>
  <c r="BX20" i="1"/>
  <c r="CE9" i="1" s="1"/>
  <c r="BX19" i="1"/>
  <c r="CE8" i="1" s="1"/>
  <c r="BC31" i="1"/>
  <c r="BE31" i="1" s="1"/>
  <c r="BC21" i="1"/>
  <c r="BE21" i="1" s="1"/>
  <c r="BC30" i="1"/>
  <c r="BE30" i="1" s="1"/>
  <c r="BC14" i="1"/>
  <c r="BE14" i="1" s="1"/>
  <c r="Y36" i="21" l="1"/>
  <c r="BD31" i="21"/>
  <c r="K27" i="21" s="1"/>
  <c r="AW20" i="21"/>
  <c r="BC31" i="21"/>
  <c r="BE31" i="21" s="1"/>
  <c r="AZ31" i="21"/>
  <c r="BC30" i="21"/>
  <c r="BD30" i="21"/>
  <c r="K26" i="21" s="1"/>
  <c r="AW19" i="21"/>
  <c r="AZ30" i="21"/>
  <c r="M4" i="21"/>
  <c r="S5" i="21" s="1"/>
  <c r="V7" i="21"/>
  <c r="T7" i="21"/>
  <c r="T6" i="21"/>
  <c r="V6" i="21"/>
  <c r="W14" i="21" s="1"/>
  <c r="T9" i="21"/>
  <c r="V9" i="21"/>
  <c r="CE7" i="21"/>
  <c r="CF7" i="21" s="1"/>
  <c r="BX20" i="21"/>
  <c r="BX19" i="21"/>
  <c r="BY18" i="21"/>
  <c r="CA18" i="21" s="1"/>
  <c r="X4" i="21"/>
  <c r="Y4" i="21" s="1"/>
  <c r="W4" i="21"/>
  <c r="AW17" i="21"/>
  <c r="BD21" i="21"/>
  <c r="K24" i="21" s="1"/>
  <c r="BC21" i="21"/>
  <c r="BE21" i="21" s="1"/>
  <c r="AZ21" i="21"/>
  <c r="BD14" i="21"/>
  <c r="K23" i="21" s="1"/>
  <c r="BC14" i="21"/>
  <c r="BE14" i="21" s="1"/>
  <c r="AW16" i="21"/>
  <c r="AZ14" i="21"/>
  <c r="T8" i="21"/>
  <c r="V8" i="21"/>
  <c r="X8" i="21" s="1"/>
  <c r="Y8" i="21" s="1"/>
  <c r="V5" i="1"/>
  <c r="BY19" i="1"/>
  <c r="CA19" i="1" s="1"/>
  <c r="BY20" i="1"/>
  <c r="CA20" i="1" s="1"/>
  <c r="K26" i="1"/>
  <c r="K24" i="1"/>
  <c r="K27" i="1"/>
  <c r="K23" i="1"/>
  <c r="BZ4" i="1"/>
  <c r="CZ27" i="1"/>
  <c r="BZ18" i="1"/>
  <c r="BZ20" i="1"/>
  <c r="BZ19" i="1"/>
  <c r="CZ30" i="1"/>
  <c r="BZ11" i="1"/>
  <c r="CZ29" i="1"/>
  <c r="CZ19" i="1"/>
  <c r="CW19" i="1" s="1"/>
  <c r="BA29" i="1"/>
  <c r="AY29" i="1" s="1"/>
  <c r="AA11" i="1"/>
  <c r="CF6" i="1" s="1"/>
  <c r="BA31" i="1"/>
  <c r="AY31" i="1" s="1"/>
  <c r="AA18" i="1"/>
  <c r="CF7" i="1" s="1"/>
  <c r="AA4" i="1"/>
  <c r="CF5" i="1" s="1"/>
  <c r="BA14" i="1"/>
  <c r="AY14" i="1" s="1"/>
  <c r="CZ20" i="1"/>
  <c r="CW20" i="1" s="1"/>
  <c r="L20" i="1"/>
  <c r="T9" i="1" s="1"/>
  <c r="L19" i="1"/>
  <c r="T8" i="1" s="1"/>
  <c r="BZ2" i="1"/>
  <c r="BA30" i="1"/>
  <c r="AZ30" i="1" s="1"/>
  <c r="AA19" i="1"/>
  <c r="CF8" i="1" s="1"/>
  <c r="CZ18" i="1"/>
  <c r="CW18" i="1" s="1"/>
  <c r="N34" i="1"/>
  <c r="U34" i="1" s="1"/>
  <c r="X34" i="1" s="1"/>
  <c r="BA21" i="1"/>
  <c r="AZ21" i="1" s="1"/>
  <c r="AA20" i="1"/>
  <c r="CF9" i="1" s="1"/>
  <c r="U29" i="1"/>
  <c r="X29" i="1"/>
  <c r="CZ4" i="1"/>
  <c r="CW4" i="1" s="1"/>
  <c r="L11" i="1"/>
  <c r="T6" i="1" s="1"/>
  <c r="L18" i="1"/>
  <c r="T7" i="1" s="1"/>
  <c r="BA12" i="1"/>
  <c r="AY12" i="1" s="1"/>
  <c r="AA2" i="1"/>
  <c r="CF4" i="1" s="1"/>
  <c r="CZ11" i="1"/>
  <c r="CW11" i="1" s="1"/>
  <c r="CZ2" i="1"/>
  <c r="CW2" i="1" s="1"/>
  <c r="L4" i="1"/>
  <c r="T5" i="1" s="1"/>
  <c r="L2" i="1"/>
  <c r="T4" i="1" s="1"/>
  <c r="W8" i="21" l="1"/>
  <c r="W16" i="21"/>
  <c r="W9" i="21"/>
  <c r="W17" i="21"/>
  <c r="W7" i="21"/>
  <c r="W15" i="21"/>
  <c r="BE30" i="21"/>
  <c r="BF12" i="21" s="1"/>
  <c r="B18" i="21" s="1"/>
  <c r="AZ32" i="21"/>
  <c r="AY14" i="21"/>
  <c r="X6" i="21"/>
  <c r="Y6" i="21" s="1"/>
  <c r="W6" i="21"/>
  <c r="AY30" i="21"/>
  <c r="BY19" i="21"/>
  <c r="CA19" i="21" s="1"/>
  <c r="CE2" i="21" s="1"/>
  <c r="CE8" i="21"/>
  <c r="CF8" i="21" s="1"/>
  <c r="X7" i="21"/>
  <c r="Y7" i="21" s="1"/>
  <c r="AY21" i="21"/>
  <c r="BY20" i="21"/>
  <c r="CA20" i="21" s="1"/>
  <c r="CE9" i="21"/>
  <c r="CF9" i="21" s="1"/>
  <c r="X9" i="21"/>
  <c r="Y9" i="21" s="1"/>
  <c r="V5" i="21"/>
  <c r="T5" i="21"/>
  <c r="T10" i="21" s="1"/>
  <c r="AY31" i="21"/>
  <c r="X5" i="1"/>
  <c r="CF10" i="1"/>
  <c r="AZ14" i="1"/>
  <c r="AY21" i="1"/>
  <c r="CE2" i="1"/>
  <c r="AZ29" i="1"/>
  <c r="T10" i="1"/>
  <c r="CW21" i="1"/>
  <c r="AZ12" i="1"/>
  <c r="AY30" i="1"/>
  <c r="J2" i="1"/>
  <c r="N2" i="1"/>
  <c r="BF12" i="1"/>
  <c r="B18" i="1" s="1"/>
  <c r="DE2" i="1"/>
  <c r="AZ31" i="1"/>
  <c r="S2" i="1"/>
  <c r="B4" i="1" s="1"/>
  <c r="W5" i="21" l="1"/>
  <c r="W13" i="21"/>
  <c r="AY32" i="21"/>
  <c r="AB19" i="21"/>
  <c r="AB11" i="21"/>
  <c r="AB18" i="21"/>
  <c r="AB20" i="21"/>
  <c r="AB4" i="21"/>
  <c r="I7" i="21"/>
  <c r="I9" i="21" s="1"/>
  <c r="C7" i="21" s="1"/>
  <c r="C8" i="21" s="1"/>
  <c r="M27" i="21"/>
  <c r="AB2" i="21"/>
  <c r="CF10" i="21"/>
  <c r="I21" i="21"/>
  <c r="I23" i="21" s="1"/>
  <c r="C21" i="21" s="1"/>
  <c r="C22" i="21" s="1"/>
  <c r="X5" i="21"/>
  <c r="Y5" i="21" s="1"/>
  <c r="M27" i="1"/>
  <c r="K32" i="1" s="1"/>
  <c r="A2" i="1"/>
  <c r="AY32" i="1"/>
  <c r="I21" i="1" s="1"/>
  <c r="I23" i="1" s="1"/>
  <c r="C21" i="1" s="1"/>
  <c r="C22" i="1" s="1"/>
  <c r="I2" i="1"/>
  <c r="B9" i="1"/>
  <c r="AZ32" i="1"/>
  <c r="AB4" i="1"/>
  <c r="AB11" i="1"/>
  <c r="AB19" i="1"/>
  <c r="AB20" i="1"/>
  <c r="AB2" i="1"/>
  <c r="I7" i="1"/>
  <c r="I9" i="1" s="1"/>
  <c r="C7" i="1" s="1"/>
  <c r="C8" i="1" s="1"/>
  <c r="AB18" i="1"/>
  <c r="N27" i="21" l="1"/>
  <c r="M28" i="21"/>
  <c r="I35" i="21" s="1"/>
  <c r="AD2" i="21"/>
  <c r="K12" i="21" s="1"/>
  <c r="AB30" i="21"/>
  <c r="AC30" i="21" s="1"/>
  <c r="AC2" i="21"/>
  <c r="AE2" i="21" s="1"/>
  <c r="Z2" i="21"/>
  <c r="K32" i="21"/>
  <c r="I29" i="21" s="1"/>
  <c r="AC4" i="21"/>
  <c r="AE4" i="21" s="1"/>
  <c r="AD4" i="21"/>
  <c r="K13" i="21" s="1"/>
  <c r="AB29" i="21"/>
  <c r="AC29" i="21" s="1"/>
  <c r="Z4" i="21"/>
  <c r="AC20" i="21"/>
  <c r="AE20" i="21" s="1"/>
  <c r="AD20" i="21"/>
  <c r="K17" i="21" s="1"/>
  <c r="AB24" i="21"/>
  <c r="AC24" i="21" s="1"/>
  <c r="Z20" i="21"/>
  <c r="AD18" i="21"/>
  <c r="K15" i="21" s="1"/>
  <c r="AB26" i="21"/>
  <c r="AC26" i="21" s="1"/>
  <c r="AC18" i="21"/>
  <c r="AE18" i="21" s="1"/>
  <c r="Z18" i="21"/>
  <c r="AC11" i="21"/>
  <c r="AE11" i="21" s="1"/>
  <c r="AB27" i="21"/>
  <c r="AC27" i="21" s="1"/>
  <c r="AD11" i="21"/>
  <c r="K14" i="21" s="1"/>
  <c r="Z11" i="21"/>
  <c r="AD19" i="21"/>
  <c r="K16" i="21" s="1"/>
  <c r="AB25" i="21"/>
  <c r="AC25" i="21" s="1"/>
  <c r="AC19" i="21"/>
  <c r="Z19" i="21"/>
  <c r="I35" i="1"/>
  <c r="I37" i="1" s="1"/>
  <c r="C35" i="1" s="1"/>
  <c r="C36" i="1" s="1"/>
  <c r="M32" i="1"/>
  <c r="N27" i="1"/>
  <c r="B24" i="1" s="1"/>
  <c r="I27" i="1"/>
  <c r="H2" i="1"/>
  <c r="I3" i="1"/>
  <c r="AB26" i="1"/>
  <c r="AC26" i="1" s="1"/>
  <c r="Z18" i="1"/>
  <c r="AC18" i="1"/>
  <c r="AE18" i="1" s="1"/>
  <c r="AD18" i="1"/>
  <c r="K15" i="1" s="1"/>
  <c r="S15" i="1" s="1"/>
  <c r="T15" i="1" s="1"/>
  <c r="AB30" i="1"/>
  <c r="AC30" i="1" s="1"/>
  <c r="Z2" i="1"/>
  <c r="AD2" i="1"/>
  <c r="K12" i="1" s="1"/>
  <c r="S12" i="1" s="1"/>
  <c r="T12" i="1" s="1"/>
  <c r="AC2" i="1"/>
  <c r="AE2" i="1" s="1"/>
  <c r="Z20" i="1"/>
  <c r="AD20" i="1"/>
  <c r="K17" i="1" s="1"/>
  <c r="S17" i="1" s="1"/>
  <c r="T17" i="1" s="1"/>
  <c r="AB24" i="1"/>
  <c r="AC24" i="1" s="1"/>
  <c r="AC20" i="1"/>
  <c r="AE20" i="1" s="1"/>
  <c r="Z19" i="1"/>
  <c r="AD19" i="1"/>
  <c r="K16" i="1" s="1"/>
  <c r="S16" i="1" s="1"/>
  <c r="T16" i="1" s="1"/>
  <c r="AC19" i="1"/>
  <c r="AE19" i="1" s="1"/>
  <c r="AB25" i="1"/>
  <c r="AC25" i="1" s="1"/>
  <c r="AD11" i="1"/>
  <c r="K14" i="1" s="1"/>
  <c r="S14" i="1" s="1"/>
  <c r="T14" i="1" s="1"/>
  <c r="AB27" i="1"/>
  <c r="AC27" i="1" s="1"/>
  <c r="AC11" i="1"/>
  <c r="AE11" i="1" s="1"/>
  <c r="Z11" i="1"/>
  <c r="AC4" i="1"/>
  <c r="AE4" i="1" s="1"/>
  <c r="AD4" i="1"/>
  <c r="K13" i="1" s="1"/>
  <c r="S13" i="1" s="1"/>
  <c r="T13" i="1" s="1"/>
  <c r="AB29" i="1"/>
  <c r="AC29" i="1" s="1"/>
  <c r="Z4" i="1"/>
  <c r="B32" i="21" l="1"/>
  <c r="B37" i="21"/>
  <c r="S16" i="21"/>
  <c r="T16" i="21" s="1"/>
  <c r="S15" i="21"/>
  <c r="T15" i="21" s="1"/>
  <c r="S14" i="21"/>
  <c r="T14" i="21" s="1"/>
  <c r="S17" i="21"/>
  <c r="T17" i="21" s="1"/>
  <c r="AE19" i="21"/>
  <c r="AF2" i="21" s="1"/>
  <c r="B11" i="21" s="1"/>
  <c r="S13" i="21"/>
  <c r="T13" i="21" s="1"/>
  <c r="S12" i="21"/>
  <c r="T12" i="21" s="1"/>
  <c r="M29" i="21"/>
  <c r="M30" i="21" s="1"/>
  <c r="M32" i="21"/>
  <c r="I37" i="21"/>
  <c r="C35" i="21" s="1"/>
  <c r="C36" i="21" s="1"/>
  <c r="Z21" i="21"/>
  <c r="W3" i="1"/>
  <c r="W6" i="1"/>
  <c r="W7" i="1"/>
  <c r="W4" i="1"/>
  <c r="W9" i="1"/>
  <c r="W8" i="1"/>
  <c r="W5" i="1"/>
  <c r="AF2" i="1"/>
  <c r="B11" i="1" s="1"/>
  <c r="B37" i="1"/>
  <c r="B32" i="1"/>
  <c r="M29" i="1"/>
  <c r="T18" i="1"/>
  <c r="I14" i="1" s="1"/>
  <c r="I16" i="1" s="1"/>
  <c r="C14" i="1" s="1"/>
  <c r="C15" i="1" s="1"/>
  <c r="Z21" i="1"/>
  <c r="T18" i="21" l="1"/>
  <c r="I14" i="21" s="1"/>
  <c r="I16" i="21" s="1"/>
  <c r="C14" i="21" s="1"/>
  <c r="C15" i="21" s="1"/>
  <c r="K29" i="21"/>
  <c r="B24" i="21"/>
  <c r="Z22" i="21"/>
  <c r="Y22" i="21" s="1"/>
  <c r="X22" i="21" s="1"/>
  <c r="W22" i="21" s="1"/>
  <c r="Y21" i="21"/>
  <c r="X21" i="21" s="1"/>
  <c r="W21" i="21" s="1"/>
  <c r="M31" i="21"/>
  <c r="M30" i="1"/>
  <c r="Y21" i="1"/>
  <c r="X21" i="1" s="1"/>
  <c r="Z22" i="1"/>
  <c r="Y22" i="1" s="1"/>
  <c r="X22" i="1" s="1"/>
  <c r="W22" i="1" s="1"/>
  <c r="I28" i="21" l="1"/>
  <c r="I30" i="21" s="1"/>
  <c r="C27" i="21" s="1"/>
  <c r="C28" i="21" s="1"/>
  <c r="K30" i="21"/>
  <c r="B30" i="21" s="1"/>
  <c r="M31" i="1"/>
  <c r="B30" i="1" s="1"/>
  <c r="I28" i="1"/>
  <c r="I30" i="1" s="1"/>
  <c r="C27" i="1" s="1"/>
  <c r="W21" i="1"/>
  <c r="C29" i="21" l="1"/>
  <c r="C29" i="1"/>
  <c r="C28" i="1"/>
</calcChain>
</file>

<file path=xl/sharedStrings.xml><?xml version="1.0" encoding="utf-8"?>
<sst xmlns="http://schemas.openxmlformats.org/spreadsheetml/2006/main" count="136" uniqueCount="41">
  <si>
    <t>Date</t>
  </si>
  <si>
    <t>Accounts</t>
  </si>
  <si>
    <t>Debit</t>
  </si>
  <si>
    <t>Credit</t>
  </si>
  <si>
    <t>(b)</t>
  </si>
  <si>
    <t>(a)</t>
  </si>
  <si>
    <t xml:space="preserve"> </t>
  </si>
  <si>
    <t xml:space="preserve">GENERAL JOURNAL   </t>
    <phoneticPr fontId="2" type="noConversion"/>
  </si>
  <si>
    <t>Random Number</t>
  </si>
  <si>
    <t>Date:</t>
  </si>
  <si>
    <t>5 Digit Identification Number:</t>
  </si>
  <si>
    <t>Student Name:</t>
  </si>
  <si>
    <t>ü</t>
  </si>
  <si>
    <t>Random numbers</t>
  </si>
  <si>
    <t>Dec. 31</t>
  </si>
  <si>
    <t>(c)</t>
  </si>
  <si>
    <t>(d)</t>
  </si>
  <si>
    <t>(e)</t>
  </si>
  <si>
    <t>Cash</t>
  </si>
  <si>
    <t>Accounts Receivable</t>
  </si>
  <si>
    <t>sporting goods</t>
  </si>
  <si>
    <t>furniture</t>
  </si>
  <si>
    <t>clothing</t>
  </si>
  <si>
    <t>shoes</t>
  </si>
  <si>
    <t>appliances</t>
  </si>
  <si>
    <t>artwork</t>
  </si>
  <si>
    <t>1/10,n/30</t>
  </si>
  <si>
    <t>2/10,n/30</t>
  </si>
  <si>
    <t>3/10,n/30</t>
  </si>
  <si>
    <t>Prepare summary journal entries for the following purchase related transactions using the "gross" method.  Account titles and amounts are to be selected from the choices found in the drop down pick lists associated with each entry.  A check mark will appear beside a correct entry.</t>
  </si>
  <si>
    <t>Inventory</t>
  </si>
  <si>
    <t>Accounts Payable</t>
  </si>
  <si>
    <t>Purchases</t>
  </si>
  <si>
    <t>Purchase Discounts Lost</t>
  </si>
  <si>
    <t>Purchase Returns &amp; Allowances</t>
  </si>
  <si>
    <t>Purchase Discounts</t>
  </si>
  <si>
    <t>To recognize return of inventory to suppliers</t>
  </si>
  <si>
    <t>To recognize price reductions for purchases of defective inventory</t>
  </si>
  <si>
    <t>Prepare summary journal entries for the following purchase related transactions using the "net" method.  Account titles and amounts are to be selected from the choices found in the drop down pick lists associated with each entry.  A check mark will appear beside a correct entry.</t>
  </si>
  <si>
    <t>Enter Name</t>
  </si>
  <si>
    <t>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</si>
</sst>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 numFmtId="165" formatCode="_(&quot;$&quot;* #,##0_);_(&quot;$&quot;* \(#,##0\);_(&quot;$&quot;* &quot;-&quot;??_);_(@_)"/>
    <numFmt numFmtId="166" formatCode="_(&quot;$&quot;* #,##0.00_);_(&quot;$&quot;* \(#,##0.00\);_(&quot;$&quot;* &quot;-&quot;_);_(@_)"/>
    <numFmt numFmtId="167" formatCode="_(&quot;$&quot;* #,##0.0_);_(&quot;$&quot;* \(#,##0.0\);_(&quot;$&quot;* &quot;-&quot;?_);_(@_)"/>
    <numFmt numFmtId="168" formatCode="_(* #,##0_);_(* \(#,##0\);_(* &quot;-&quot;??_);_(@_)"/>
    <numFmt numFmtId="169" formatCode="_(&quot;$&quot;* #,##0_);_(&quot;$&quot;* \(#,##0\);_(&quot;$&quot;* &quot;-&quot;?_);_(@_)"/>
    <numFmt numFmtId="172" formatCode="_(&quot;$&quot;* #,##0.00_);_(&quot;$&quot;* \(#,##0.00\);_(&quot;$&quot;* &quot;-&quot;?_);_(@_)"/>
  </numFmts>
  <fonts count="36">
    <font>
      <sz val="10"/>
      <name val="Arial"/>
    </font>
    <font>
      <sz val="10"/>
      <name val="Arial"/>
    </font>
    <font>
      <sz val="8"/>
      <name val="Arial"/>
    </font>
    <font>
      <sz val="12"/>
      <color indexed="12"/>
      <name val="Arial"/>
      <family val="2"/>
    </font>
    <font>
      <sz val="10"/>
      <name val="Arial"/>
    </font>
    <font>
      <sz val="10"/>
      <name val="Myriad Web Pro"/>
    </font>
    <font>
      <sz val="10"/>
      <name val="Myriad Web Pro"/>
    </font>
    <font>
      <b/>
      <sz val="10"/>
      <color indexed="9"/>
      <name val="Myriad Web Pro"/>
    </font>
    <font>
      <sz val="10"/>
      <color indexed="16"/>
      <name val="Myriad Web Pro"/>
    </font>
    <font>
      <i/>
      <sz val="10"/>
      <name val="Myriad Web Pro"/>
    </font>
    <font>
      <sz val="12"/>
      <name val="Myriad Pro"/>
    </font>
    <font>
      <sz val="12"/>
      <color indexed="16"/>
      <name val="Myriad Pro"/>
    </font>
    <font>
      <sz val="10"/>
      <name val="Myriad Pro"/>
    </font>
    <font>
      <sz val="10"/>
      <color indexed="12"/>
      <name val="Myriad Web Pro"/>
    </font>
    <font>
      <b/>
      <sz val="10"/>
      <color indexed="12"/>
      <name val="Myriad Web Pro"/>
    </font>
    <font>
      <sz val="20"/>
      <name val="Wingdings"/>
      <charset val="2"/>
    </font>
    <font>
      <b/>
      <sz val="12"/>
      <name val="Wingdings"/>
      <charset val="2"/>
    </font>
    <font>
      <sz val="10"/>
      <name val="Arial"/>
      <family val="2"/>
    </font>
    <font>
      <sz val="12"/>
      <color indexed="12"/>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3">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0">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thin">
        <color indexed="64"/>
      </left>
      <right style="thin">
        <color indexed="64"/>
      </right>
      <top style="thin">
        <color indexed="64"/>
      </top>
      <bottom style="thin">
        <color indexed="64"/>
      </bottom>
      <diagonal/>
    </border>
    <border>
      <left/>
      <right/>
      <top/>
      <bottom style="thin">
        <color indexed="1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80">
    <xf numFmtId="0" fontId="0" fillId="0" borderId="0"/>
    <xf numFmtId="0" fontId="5" fillId="2" borderId="0" applyNumberFormat="0" applyAlignment="0"/>
    <xf numFmtId="0" fontId="6" fillId="3" borderId="0"/>
    <xf numFmtId="0" fontId="7" fillId="3" borderId="0">
      <alignment horizontal="center" vertical="center"/>
    </xf>
    <xf numFmtId="43" fontId="1" fillId="0" borderId="0" applyFont="0" applyFill="0" applyBorder="0" applyAlignment="0" applyProtection="0"/>
    <xf numFmtId="3" fontId="6"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12" fillId="4" borderId="3" applyFont="0" applyAlignment="0">
      <alignment horizontal="center" vertical="center" wrapText="1"/>
    </xf>
    <xf numFmtId="0" fontId="6" fillId="4" borderId="0">
      <alignment horizontal="center" vertical="center" wrapText="1"/>
    </xf>
    <xf numFmtId="0" fontId="9"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6" fillId="0" borderId="5" applyNumberFormat="0" applyFont="0" applyFill="0" applyAlignment="0">
      <alignment horizontal="center" vertical="center" wrapText="1"/>
    </xf>
    <xf numFmtId="164" fontId="5" fillId="0" borderId="5" applyNumberFormat="0" applyFont="0" applyFill="0" applyAlignment="0">
      <alignment horizontal="center" vertical="center" wrapText="1"/>
    </xf>
    <xf numFmtId="164" fontId="6"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0" fontId="17" fillId="8" borderId="0">
      <alignment vertical="center"/>
    </xf>
    <xf numFmtId="164" fontId="6" fillId="6" borderId="8" applyNumberFormat="0" applyBorder="0" applyAlignment="0">
      <alignment horizontal="left" vertical="center" wrapText="1"/>
    </xf>
    <xf numFmtId="0" fontId="17" fillId="0" borderId="0"/>
    <xf numFmtId="0" fontId="6" fillId="4" borderId="0" applyFill="0">
      <alignment vertical="center" wrapText="1"/>
    </xf>
    <xf numFmtId="0" fontId="11" fillId="0" borderId="0">
      <alignment horizontal="left" vertical="center" wrapText="1"/>
    </xf>
    <xf numFmtId="0" fontId="10" fillId="0" borderId="0">
      <alignment horizontal="left" vertical="center" wrapText="1"/>
    </xf>
    <xf numFmtId="0" fontId="6" fillId="9" borderId="0" applyNumberFormat="0" applyAlignment="0">
      <alignment vertical="center"/>
    </xf>
    <xf numFmtId="0" fontId="7" fillId="10" borderId="0" applyNumberFormat="0" applyAlignment="0"/>
    <xf numFmtId="44" fontId="1" fillId="0" borderId="0" applyFont="0" applyFill="0" applyBorder="0" applyAlignment="0" applyProtection="0"/>
    <xf numFmtId="9" fontId="1" fillId="0" borderId="0" applyFont="0" applyFill="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20" fillId="21"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8" borderId="0" applyNumberFormat="0" applyBorder="0" applyAlignment="0" applyProtection="0"/>
    <xf numFmtId="0" fontId="21" fillId="12" borderId="0" applyNumberFormat="0" applyBorder="0" applyAlignment="0" applyProtection="0"/>
    <xf numFmtId="0" fontId="5" fillId="2" borderId="0" applyNumberFormat="0" applyBorder="0" applyAlignment="0"/>
    <xf numFmtId="0" fontId="5" fillId="3" borderId="0"/>
    <xf numFmtId="0" fontId="22" fillId="29" borderId="11" applyNumberFormat="0" applyAlignment="0" applyProtection="0"/>
    <xf numFmtId="0" fontId="23" fillId="30" borderId="12" applyNumberFormat="0" applyAlignment="0" applyProtection="0"/>
    <xf numFmtId="0" fontId="24" fillId="0" borderId="0" applyNumberFormat="0" applyFill="0" applyBorder="0" applyAlignment="0" applyProtection="0"/>
    <xf numFmtId="3" fontId="5" fillId="4" borderId="1">
      <alignment horizontal="right" vertical="center" wrapText="1"/>
    </xf>
    <xf numFmtId="3" fontId="12" fillId="4" borderId="3" applyNumberFormat="0" applyFont="0" applyAlignment="0">
      <alignment horizontal="center" vertical="center" wrapText="1"/>
    </xf>
    <xf numFmtId="16" fontId="5" fillId="4" borderId="0">
      <alignment horizontal="center" vertical="center" wrapText="1"/>
    </xf>
    <xf numFmtId="0" fontId="18" fillId="5" borderId="0" applyFont="0" applyAlignment="0">
      <alignment horizontal="center" vertical="center" wrapText="1"/>
    </xf>
    <xf numFmtId="0" fontId="25" fillId="13" borderId="0" applyNumberFormat="0" applyBorder="0" applyAlignment="0" applyProtection="0"/>
    <xf numFmtId="0" fontId="26" fillId="0" borderId="13" applyNumberFormat="0" applyFill="0" applyAlignment="0" applyProtection="0"/>
    <xf numFmtId="0" fontId="27" fillId="0" borderId="14" applyNumberFormat="0" applyFill="0" applyAlignment="0" applyProtection="0"/>
    <xf numFmtId="0" fontId="28" fillId="0" borderId="15" applyNumberFormat="0" applyFill="0" applyAlignment="0" applyProtection="0"/>
    <xf numFmtId="0" fontId="28" fillId="0" borderId="0" applyNumberFormat="0" applyFill="0" applyBorder="0" applyAlignment="0" applyProtection="0"/>
    <xf numFmtId="0" fontId="29" fillId="16" borderId="11" applyNumberFormat="0" applyAlignment="0" applyProtection="0"/>
    <xf numFmtId="164" fontId="5" fillId="7" borderId="6" applyNumberFormat="0" applyBorder="0" applyAlignment="0">
      <alignment horizontal="left" vertical="center" wrapText="1"/>
    </xf>
    <xf numFmtId="164" fontId="5" fillId="6" borderId="8" applyNumberFormat="0" applyBorder="0" applyAlignment="0">
      <alignment horizontal="left" vertical="center" wrapText="1"/>
    </xf>
    <xf numFmtId="0" fontId="30" fillId="0" borderId="16" applyNumberFormat="0" applyFill="0" applyAlignment="0" applyProtection="0"/>
    <xf numFmtId="0" fontId="31" fillId="31" borderId="0" applyNumberFormat="0" applyBorder="0" applyAlignment="0" applyProtection="0"/>
    <xf numFmtId="0" fontId="1" fillId="32" borderId="17" applyNumberFormat="0" applyFont="0" applyAlignment="0" applyProtection="0"/>
    <xf numFmtId="0" fontId="32" fillId="29" borderId="18" applyNumberFormat="0" applyAlignment="0" applyProtection="0"/>
    <xf numFmtId="0" fontId="5" fillId="4" borderId="0" applyFill="0">
      <alignment horizontal="justify" vertical="top" wrapText="1"/>
    </xf>
    <xf numFmtId="0" fontId="33" fillId="0" borderId="0" applyNumberFormat="0" applyFill="0" applyBorder="0" applyAlignment="0" applyProtection="0"/>
    <xf numFmtId="0" fontId="34" fillId="0" borderId="19" applyNumberFormat="0" applyFill="0" applyAlignment="0" applyProtection="0"/>
    <xf numFmtId="0" fontId="5" fillId="9" borderId="0" applyNumberFormat="0" applyAlignment="0">
      <alignment vertical="center"/>
    </xf>
    <xf numFmtId="0" fontId="35" fillId="0" borderId="0" applyNumberFormat="0" applyFill="0" applyBorder="0" applyAlignment="0" applyProtection="0"/>
  </cellStyleXfs>
  <cellXfs count="67">
    <xf numFmtId="0" fontId="0" fillId="0" borderId="0" xfId="0"/>
    <xf numFmtId="0" fontId="0" fillId="0" borderId="0" xfId="0" applyBorder="1"/>
    <xf numFmtId="1" fontId="4" fillId="0" borderId="0" xfId="0" applyNumberFormat="1" applyFont="1" applyBorder="1"/>
    <xf numFmtId="1" fontId="4" fillId="0" borderId="9" xfId="0" applyNumberFormat="1" applyFont="1" applyBorder="1"/>
    <xf numFmtId="0" fontId="0" fillId="0" borderId="0" xfId="0" applyAlignment="1">
      <alignment horizontal="left" vertical="center"/>
    </xf>
    <xf numFmtId="0" fontId="0" fillId="0" borderId="0" xfId="0" applyAlignment="1" applyProtection="1">
      <alignment horizontal="left" vertical="center"/>
    </xf>
    <xf numFmtId="14" fontId="0" fillId="0" borderId="0" xfId="0" applyNumberFormat="1" applyAlignment="1" applyProtection="1">
      <alignment horizontal="center" vertical="center"/>
      <protection locked="0"/>
    </xf>
    <xf numFmtId="0" fontId="17" fillId="0" borderId="0" xfId="0" applyFont="1" applyAlignment="1" applyProtection="1">
      <alignment horizontal="center" vertical="center"/>
      <protection locked="0"/>
    </xf>
    <xf numFmtId="0" fontId="6" fillId="0" borderId="0" xfId="0" applyFont="1" applyAlignment="1" applyProtection="1"/>
    <xf numFmtId="0" fontId="6" fillId="0" borderId="0" xfId="0" applyFont="1" applyProtection="1"/>
    <xf numFmtId="0" fontId="5" fillId="0" borderId="0" xfId="0" applyFont="1" applyAlignment="1" applyProtection="1"/>
    <xf numFmtId="42" fontId="6" fillId="0" borderId="0" xfId="0" applyNumberFormat="1" applyFont="1" applyAlignment="1" applyProtection="1"/>
    <xf numFmtId="41" fontId="6" fillId="0" borderId="0" xfId="0" applyNumberFormat="1" applyFont="1" applyAlignment="1" applyProtection="1"/>
    <xf numFmtId="1" fontId="6" fillId="0" borderId="0" xfId="0" applyNumberFormat="1" applyFont="1" applyAlignment="1" applyProtection="1">
      <alignment vertical="center"/>
    </xf>
    <xf numFmtId="42" fontId="6" fillId="0" borderId="0" xfId="0" applyNumberFormat="1" applyFont="1" applyAlignment="1" applyProtection="1">
      <alignment vertical="center"/>
    </xf>
    <xf numFmtId="0" fontId="15" fillId="0" borderId="0" xfId="0" applyFont="1" applyAlignment="1" applyProtection="1">
      <alignment horizontal="center" vertical="center"/>
    </xf>
    <xf numFmtId="0" fontId="7" fillId="5" borderId="3" xfId="12" applyFont="1" applyAlignment="1" applyProtection="1">
      <alignment vertical="center"/>
    </xf>
    <xf numFmtId="0" fontId="7" fillId="5" borderId="3" xfId="12" applyFont="1" applyAlignment="1" applyProtection="1">
      <alignment horizontal="center" vertical="center"/>
    </xf>
    <xf numFmtId="0" fontId="6" fillId="0" borderId="0" xfId="0" applyFont="1" applyFill="1" applyProtection="1"/>
    <xf numFmtId="0" fontId="7" fillId="5" borderId="3" xfId="12" applyFont="1" applyAlignment="1" applyProtection="1">
      <alignment horizontal="center" vertical="center" wrapText="1"/>
    </xf>
    <xf numFmtId="3" fontId="5" fillId="0" borderId="3" xfId="8" applyFont="1" applyFill="1" applyAlignment="1" applyProtection="1">
      <alignment horizontal="center" vertical="center" wrapText="1"/>
    </xf>
    <xf numFmtId="3" fontId="16" fillId="0" borderId="3" xfId="8" applyFont="1" applyFill="1" applyAlignment="1" applyProtection="1">
      <alignment horizontal="left" vertical="center" wrapText="1"/>
    </xf>
    <xf numFmtId="3" fontId="6" fillId="0" borderId="3" xfId="8" applyFont="1" applyFill="1" applyAlignment="1" applyProtection="1">
      <alignment horizontal="right" vertical="center" wrapText="1"/>
    </xf>
    <xf numFmtId="3" fontId="13" fillId="0" borderId="3" xfId="8" applyFont="1" applyFill="1" applyAlignment="1" applyProtection="1">
      <alignment horizontal="center" vertical="center" wrapText="1"/>
    </xf>
    <xf numFmtId="3" fontId="14" fillId="0" borderId="3" xfId="8" applyFont="1" applyFill="1" applyAlignment="1" applyProtection="1">
      <alignment vertical="center" wrapText="1"/>
    </xf>
    <xf numFmtId="3" fontId="9" fillId="0" borderId="3" xfId="8" applyFont="1" applyFill="1" applyAlignment="1" applyProtection="1">
      <alignment horizontal="justify" vertical="center" wrapText="1"/>
    </xf>
    <xf numFmtId="3" fontId="13" fillId="0" borderId="3" xfId="8" applyFont="1" applyFill="1" applyAlignment="1" applyProtection="1">
      <alignment vertical="center" wrapText="1"/>
    </xf>
    <xf numFmtId="3" fontId="5" fillId="0" borderId="3" xfId="8" applyFont="1" applyFill="1" applyAlignment="1" applyProtection="1">
      <alignment horizontal="left" vertical="center" wrapText="1"/>
      <protection locked="0"/>
    </xf>
    <xf numFmtId="3" fontId="5" fillId="0" borderId="3" xfId="8" applyFont="1" applyFill="1" applyAlignment="1" applyProtection="1">
      <alignment horizontal="left" vertical="center" wrapText="1" indent="2"/>
      <protection locked="0"/>
    </xf>
    <xf numFmtId="0" fontId="17" fillId="0" borderId="0" xfId="0" applyFont="1"/>
    <xf numFmtId="44" fontId="6" fillId="0" borderId="0" xfId="0" applyNumberFormat="1" applyFont="1" applyAlignment="1" applyProtection="1">
      <alignment vertical="center"/>
    </xf>
    <xf numFmtId="165" fontId="6" fillId="0" borderId="0" xfId="0" applyNumberFormat="1" applyFont="1" applyAlignment="1" applyProtection="1">
      <alignment vertical="center"/>
    </xf>
    <xf numFmtId="43" fontId="5" fillId="0" borderId="3" xfId="4" applyNumberFormat="1" applyFont="1" applyFill="1" applyBorder="1" applyAlignment="1" applyProtection="1">
      <alignment vertical="center" wrapText="1"/>
      <protection locked="0"/>
    </xf>
    <xf numFmtId="44" fontId="6" fillId="0" borderId="0" xfId="0" applyNumberFormat="1" applyFont="1" applyProtection="1"/>
    <xf numFmtId="0" fontId="5" fillId="0" borderId="0" xfId="0" applyFont="1" applyProtection="1"/>
    <xf numFmtId="42" fontId="5" fillId="0" borderId="0" xfId="0" applyNumberFormat="1" applyFont="1" applyAlignment="1" applyProtection="1">
      <alignment horizontal="right"/>
    </xf>
    <xf numFmtId="0" fontId="5" fillId="0" borderId="0" xfId="0" applyFont="1" applyAlignment="1" applyProtection="1">
      <alignment wrapText="1"/>
    </xf>
    <xf numFmtId="42" fontId="5" fillId="0" borderId="0" xfId="0" applyNumberFormat="1" applyFont="1" applyProtection="1"/>
    <xf numFmtId="44" fontId="5" fillId="0" borderId="0" xfId="0" applyNumberFormat="1" applyFont="1" applyProtection="1"/>
    <xf numFmtId="0" fontId="5" fillId="0" borderId="0" xfId="0" applyFont="1" applyAlignment="1" applyProtection="1">
      <alignment horizontal="right"/>
    </xf>
    <xf numFmtId="44" fontId="5" fillId="0" borderId="0" xfId="27" applyFont="1" applyProtection="1"/>
    <xf numFmtId="0" fontId="5" fillId="0" borderId="10" xfId="22" applyFont="1" applyFill="1" applyBorder="1" applyAlignment="1" applyProtection="1">
      <alignment vertical="center" wrapText="1"/>
    </xf>
    <xf numFmtId="43" fontId="5" fillId="0" borderId="3" xfId="4" applyNumberFormat="1" applyFont="1" applyFill="1" applyBorder="1" applyAlignment="1" applyProtection="1">
      <alignment vertical="center" wrapText="1"/>
    </xf>
    <xf numFmtId="44" fontId="5" fillId="0" borderId="0" xfId="0" applyNumberFormat="1" applyFont="1" applyAlignment="1" applyProtection="1">
      <alignment horizontal="right"/>
    </xf>
    <xf numFmtId="166" fontId="5" fillId="0" borderId="0" xfId="0" applyNumberFormat="1" applyFont="1" applyProtection="1"/>
    <xf numFmtId="167" fontId="6" fillId="0" borderId="0" xfId="0" applyNumberFormat="1" applyFont="1" applyProtection="1"/>
    <xf numFmtId="167" fontId="6" fillId="0" borderId="0" xfId="0" applyNumberFormat="1" applyFont="1" applyAlignment="1" applyProtection="1">
      <alignment vertical="center"/>
    </xf>
    <xf numFmtId="0" fontId="17" fillId="0" borderId="0" xfId="0" applyFont="1" applyProtection="1">
      <protection locked="0"/>
    </xf>
    <xf numFmtId="0" fontId="5" fillId="0" borderId="0" xfId="22" applyFont="1" applyFill="1" applyAlignment="1" applyProtection="1">
      <alignment horizontal="justify" vertical="center" wrapText="1"/>
    </xf>
    <xf numFmtId="0" fontId="6" fillId="0" borderId="0" xfId="0" applyFont="1" applyAlignment="1" applyProtection="1">
      <alignment vertical="center"/>
    </xf>
    <xf numFmtId="0" fontId="5" fillId="0" borderId="0" xfId="22" applyFont="1" applyFill="1" applyAlignment="1" applyProtection="1">
      <alignment horizontal="justify" vertical="center" wrapText="1"/>
    </xf>
    <xf numFmtId="2" fontId="5" fillId="0" borderId="0" xfId="28" applyNumberFormat="1" applyFont="1" applyProtection="1"/>
    <xf numFmtId="169" fontId="5" fillId="0" borderId="0" xfId="0" applyNumberFormat="1" applyFont="1" applyProtection="1"/>
    <xf numFmtId="165" fontId="5" fillId="0" borderId="0" xfId="0" applyNumberFormat="1" applyFont="1" applyProtection="1"/>
    <xf numFmtId="42" fontId="5" fillId="0" borderId="0" xfId="0" applyNumberFormat="1" applyFont="1" applyFill="1" applyAlignment="1" applyProtection="1">
      <alignment horizontal="right"/>
    </xf>
    <xf numFmtId="0" fontId="5" fillId="0" borderId="0" xfId="0" applyFont="1" applyFill="1" applyProtection="1"/>
    <xf numFmtId="0" fontId="6" fillId="0" borderId="0" xfId="0" applyFont="1" applyFill="1" applyAlignment="1" applyProtection="1">
      <alignment vertical="center"/>
    </xf>
    <xf numFmtId="1" fontId="6" fillId="0" borderId="0" xfId="0" applyNumberFormat="1" applyFont="1" applyFill="1" applyAlignment="1" applyProtection="1">
      <alignment vertical="center"/>
    </xf>
    <xf numFmtId="168" fontId="6" fillId="0" borderId="0" xfId="4" applyNumberFormat="1" applyFont="1" applyFill="1" applyAlignment="1" applyProtection="1">
      <alignment vertical="center"/>
    </xf>
    <xf numFmtId="0" fontId="5" fillId="0" borderId="0" xfId="22" applyFont="1" applyFill="1" applyAlignment="1" applyProtection="1">
      <alignment horizontal="justify" vertical="center" wrapText="1"/>
    </xf>
    <xf numFmtId="0" fontId="6" fillId="0" borderId="0" xfId="0" applyFont="1" applyAlignment="1" applyProtection="1">
      <alignment vertical="center" wrapText="1"/>
    </xf>
    <xf numFmtId="0" fontId="5" fillId="0" borderId="0" xfId="22" applyFont="1" applyFill="1" applyAlignment="1" applyProtection="1">
      <alignment horizontal="left" vertical="center" wrapText="1"/>
    </xf>
    <xf numFmtId="0" fontId="5" fillId="0" borderId="0" xfId="22" applyFont="1" applyFill="1" applyAlignment="1" applyProtection="1">
      <alignment horizontal="center" vertical="center" wrapText="1"/>
    </xf>
    <xf numFmtId="0" fontId="5" fillId="0" borderId="10" xfId="22" applyFont="1" applyFill="1" applyBorder="1" applyAlignment="1" applyProtection="1">
      <alignment horizontal="left" vertical="center" wrapText="1"/>
    </xf>
    <xf numFmtId="44" fontId="5" fillId="0" borderId="0" xfId="27" applyNumberFormat="1" applyFont="1" applyProtection="1"/>
    <xf numFmtId="166" fontId="5" fillId="0" borderId="0" xfId="0" applyNumberFormat="1" applyFont="1" applyFill="1" applyAlignment="1" applyProtection="1">
      <alignment horizontal="right"/>
    </xf>
    <xf numFmtId="172" fontId="5" fillId="0" borderId="0" xfId="0" applyNumberFormat="1" applyFont="1" applyProtection="1"/>
  </cellXfs>
  <cellStyles count="80">
    <cellStyle name="20% - Accent1 2" xfId="29"/>
    <cellStyle name="20% - Accent2 2" xfId="30"/>
    <cellStyle name="20% - Accent3 2" xfId="31"/>
    <cellStyle name="20% - Accent4 2" xfId="32"/>
    <cellStyle name="20% - Accent5 2" xfId="33"/>
    <cellStyle name="20% - Accent6 2" xfId="34"/>
    <cellStyle name="40% - Accent1 2" xfId="35"/>
    <cellStyle name="40% - Accent2 2" xfId="36"/>
    <cellStyle name="40% - Accent3 2" xfId="37"/>
    <cellStyle name="40% - Accent4 2" xfId="38"/>
    <cellStyle name="40% - Accent5 2" xfId="39"/>
    <cellStyle name="40% - Accent6 2" xfId="40"/>
    <cellStyle name="60% - Accent1 2" xfId="41"/>
    <cellStyle name="60% - Accent2 2" xfId="42"/>
    <cellStyle name="60% - Accent3 2" xfId="43"/>
    <cellStyle name="60% - Accent4 2" xfId="44"/>
    <cellStyle name="60% - Accent5 2" xfId="45"/>
    <cellStyle name="60% - Accent6 2" xfId="46"/>
    <cellStyle name="Accent1 2" xfId="47"/>
    <cellStyle name="Accent2 2" xfId="48"/>
    <cellStyle name="Accent3 2" xfId="49"/>
    <cellStyle name="Accent4 2" xfId="50"/>
    <cellStyle name="Accent5 2" xfId="51"/>
    <cellStyle name="Accent6 2" xfId="52"/>
    <cellStyle name="Bad 2" xfId="53"/>
    <cellStyle name="bsbody" xfId="1"/>
    <cellStyle name="bsbody 2" xfId="54"/>
    <cellStyle name="bsfoot" xfId="2"/>
    <cellStyle name="bsfoot 2" xfId="55"/>
    <cellStyle name="bshead" xfId="3"/>
    <cellStyle name="Calculation 2" xfId="56"/>
    <cellStyle name="Check Cell 2" xfId="57"/>
    <cellStyle name="Comma" xfId="4" builtinId="3"/>
    <cellStyle name="Currency" xfId="27" builtinId="4"/>
    <cellStyle name="Explanatory Text 2" xfId="58"/>
    <cellStyle name="GenJour#" xfId="5"/>
    <cellStyle name="GenJour# 2" xfId="59"/>
    <cellStyle name="GenJour1" xfId="6"/>
    <cellStyle name="GenJour2" xfId="7"/>
    <cellStyle name="GenJourBody" xfId="8"/>
    <cellStyle name="GenJourBody 2" xfId="60"/>
    <cellStyle name="GenJourDate" xfId="9"/>
    <cellStyle name="GenJourDate 2" xfId="61"/>
    <cellStyle name="GenJourDes" xfId="10"/>
    <cellStyle name="GenJourFoot" xfId="11"/>
    <cellStyle name="GenJourFoot 2" xfId="62"/>
    <cellStyle name="GenJourHead" xfId="12"/>
    <cellStyle name="Good 2" xfId="63"/>
    <cellStyle name="Heading 1 2" xfId="64"/>
    <cellStyle name="Heading 2 2" xfId="65"/>
    <cellStyle name="Heading 3 2" xfId="66"/>
    <cellStyle name="Heading 4 2" xfId="67"/>
    <cellStyle name="Input 2" xfId="68"/>
    <cellStyle name="LedgBody" xfId="13"/>
    <cellStyle name="ledgerwkbk" xfId="14"/>
    <cellStyle name="ledgerwkbk 2" xfId="15"/>
    <cellStyle name="LedgGreen" xfId="16"/>
    <cellStyle name="LedgGreen 2" xfId="69"/>
    <cellStyle name="LedgHead" xfId="17"/>
    <cellStyle name="LedgSide" xfId="18"/>
    <cellStyle name="LedgSide 2" xfId="19"/>
    <cellStyle name="LedgYellow" xfId="20"/>
    <cellStyle name="LedgYellow 2" xfId="70"/>
    <cellStyle name="Linked Cell 2" xfId="71"/>
    <cellStyle name="Neutral 2" xfId="72"/>
    <cellStyle name="Normal" xfId="0" builtinId="0"/>
    <cellStyle name="Normal 2" xfId="21"/>
    <cellStyle name="Note 2" xfId="73"/>
    <cellStyle name="Output 2" xfId="74"/>
    <cellStyle name="Percent" xfId="28" builtinId="5"/>
    <cellStyle name="POA" xfId="22"/>
    <cellStyle name="POA 2" xfId="75"/>
    <cellStyle name="POAanswer" xfId="23"/>
    <cellStyle name="POAhead" xfId="24"/>
    <cellStyle name="Title 2" xfId="76"/>
    <cellStyle name="Total 2" xfId="77"/>
    <cellStyle name="trialbody" xfId="25"/>
    <cellStyle name="trialbody 2" xfId="78"/>
    <cellStyle name="trialhead" xfId="26"/>
    <cellStyle name="Warning Text 2" xfId="7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D1B2"/>
      <rgbColor rgb="001FB714"/>
      <rgbColor rgb="000000D4"/>
      <rgbColor rgb="00FCF305"/>
      <rgbColor rgb="00F1ECDA"/>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0EDF0"/>
      <rgbColor rgb="00CCFFFF"/>
      <rgbColor rgb="00CCFFCC"/>
      <rgbColor rgb="00FFFF99"/>
      <rgbColor rgb="002C3B62"/>
      <rgbColor rgb="006C602B"/>
      <rgbColor rgb="00F6F7F5"/>
      <rgbColor rgb="004C7C38"/>
      <rgbColor rgb="003366FF"/>
      <rgbColor rgb="0033CCCC"/>
      <rgbColor rgb="00F6F7EC"/>
      <rgbColor rgb="00FDF6E2"/>
      <rgbColor rgb="00E7EDDC"/>
      <rgbColor rgb="00C7D6B5"/>
      <rgbColor rgb="00666699"/>
      <rgbColor rgb="00969696"/>
      <rgbColor rgb="00003366"/>
      <rgbColor rgb="00339966"/>
      <rgbColor rgb="00003300"/>
      <rgbColor rgb="00333300"/>
      <rgbColor rgb="00993300"/>
      <rgbColor rgb="00993366"/>
      <rgbColor rgb="00333399"/>
      <rgbColor rgb="00333333"/>
    </indexed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82"/>
  <sheetViews>
    <sheetView tabSelected="1" workbookViewId="0">
      <selection activeCell="B2" sqref="B2"/>
    </sheetView>
  </sheetViews>
  <sheetFormatPr defaultColWidth="0" defaultRowHeight="12.75" zeroHeight="1"/>
  <cols>
    <col min="1" max="1" width="32.7109375" customWidth="1"/>
    <col min="2" max="2" width="30.140625" customWidth="1"/>
    <col min="3" max="3" width="9.85546875" hidden="1" customWidth="1"/>
    <col min="4" max="16384" width="9.140625" hidden="1"/>
  </cols>
  <sheetData>
    <row r="1" spans="1:2" ht="27" customHeight="1">
      <c r="A1" s="5" t="s">
        <v>11</v>
      </c>
      <c r="B1" s="7" t="s">
        <v>39</v>
      </c>
    </row>
    <row r="2" spans="1:2" ht="27" customHeight="1">
      <c r="A2" s="5" t="s">
        <v>10</v>
      </c>
      <c r="B2" s="7" t="s">
        <v>40</v>
      </c>
    </row>
    <row r="3" spans="1:2" ht="27" customHeight="1">
      <c r="A3" s="5" t="s">
        <v>9</v>
      </c>
      <c r="B3" s="6">
        <f ca="1">TODAY()</f>
        <v>42620</v>
      </c>
    </row>
    <row r="4" spans="1:2">
      <c r="A4" s="5"/>
      <c r="B4" s="47" t="s">
        <v>6</v>
      </c>
    </row>
    <row r="5" spans="1:2"/>
    <row r="6" spans="1:2" ht="38.25" hidden="1" customHeight="1">
      <c r="A6" s="4" t="s">
        <v>8</v>
      </c>
    </row>
    <row r="7" spans="1:2" ht="42.75" hidden="1" customHeight="1"/>
    <row r="8" spans="1:2" ht="35.25" hidden="1" customHeight="1">
      <c r="B8" t="e">
        <f>B2/10000</f>
        <v>#VALUE!</v>
      </c>
    </row>
    <row r="9" spans="1:2" hidden="1">
      <c r="B9" t="e">
        <f>TRUNC(B8)</f>
        <v>#VALUE!</v>
      </c>
    </row>
    <row r="10" spans="1:2" hidden="1">
      <c r="B10" t="e">
        <f>B2/1000</f>
        <v>#VALUE!</v>
      </c>
    </row>
    <row r="11" spans="1:2" hidden="1">
      <c r="B11" t="e">
        <f>TRUNC(B10)</f>
        <v>#VALUE!</v>
      </c>
    </row>
    <row r="12" spans="1:2" hidden="1">
      <c r="B12" t="e">
        <f>B11-(B9*10)</f>
        <v>#VALUE!</v>
      </c>
    </row>
    <row r="13" spans="1:2" hidden="1">
      <c r="B13" t="e">
        <f>B2/100</f>
        <v>#VALUE!</v>
      </c>
    </row>
    <row r="14" spans="1:2" hidden="1">
      <c r="B14" t="e">
        <f>TRUNC(B13)</f>
        <v>#VALUE!</v>
      </c>
    </row>
    <row r="15" spans="1:2" hidden="1">
      <c r="B15" t="e">
        <f>B14-(B11*10)</f>
        <v>#VALUE!</v>
      </c>
    </row>
    <row r="16" spans="1:2" hidden="1">
      <c r="B16" t="e">
        <f>B2/10</f>
        <v>#VALUE!</v>
      </c>
    </row>
    <row r="17" spans="1:3" hidden="1">
      <c r="B17" t="e">
        <f>TRUNC(B16)</f>
        <v>#VALUE!</v>
      </c>
    </row>
    <row r="18" spans="1:3" hidden="1">
      <c r="B18" t="e">
        <f>B17-(B14*10)</f>
        <v>#VALUE!</v>
      </c>
    </row>
    <row r="19" spans="1:3" hidden="1">
      <c r="B19" t="str">
        <f>B2</f>
        <v>o</v>
      </c>
    </row>
    <row r="20" spans="1:3" hidden="1">
      <c r="B20" t="e">
        <f>TRUNC(B19)</f>
        <v>#VALUE!</v>
      </c>
    </row>
    <row r="21" spans="1:3" hidden="1">
      <c r="B21" t="e">
        <f>B20-(B17*10)</f>
        <v>#VALUE!</v>
      </c>
    </row>
    <row r="22" spans="1:3" hidden="1"/>
    <row r="23" spans="1:3" hidden="1">
      <c r="B23" t="e">
        <f>B9+B12+B15+B18+B21</f>
        <v>#VALUE!</v>
      </c>
    </row>
    <row r="24" spans="1:3" hidden="1"/>
    <row r="25" spans="1:3" hidden="1"/>
    <row r="26" spans="1:3" hidden="1">
      <c r="A26">
        <v>1</v>
      </c>
      <c r="B26">
        <v>6</v>
      </c>
      <c r="C26" t="e">
        <f t="shared" ref="C26:C70" si="0">IF(A26=$B$23,B26,0)</f>
        <v>#VALUE!</v>
      </c>
    </row>
    <row r="27" spans="1:3" hidden="1">
      <c r="A27">
        <v>2</v>
      </c>
      <c r="B27">
        <v>8</v>
      </c>
      <c r="C27" t="e">
        <f t="shared" si="0"/>
        <v>#VALUE!</v>
      </c>
    </row>
    <row r="28" spans="1:3" hidden="1">
      <c r="A28">
        <v>3</v>
      </c>
      <c r="B28">
        <v>3</v>
      </c>
      <c r="C28" t="e">
        <f t="shared" si="0"/>
        <v>#VALUE!</v>
      </c>
    </row>
    <row r="29" spans="1:3" hidden="1">
      <c r="A29">
        <v>4</v>
      </c>
      <c r="B29">
        <v>4</v>
      </c>
      <c r="C29" t="e">
        <f t="shared" si="0"/>
        <v>#VALUE!</v>
      </c>
    </row>
    <row r="30" spans="1:3" hidden="1">
      <c r="A30">
        <v>5</v>
      </c>
      <c r="B30">
        <v>9</v>
      </c>
      <c r="C30" t="e">
        <f t="shared" si="0"/>
        <v>#VALUE!</v>
      </c>
    </row>
    <row r="31" spans="1:3" hidden="1">
      <c r="A31">
        <v>6</v>
      </c>
      <c r="B31">
        <v>1</v>
      </c>
      <c r="C31" t="e">
        <f t="shared" si="0"/>
        <v>#VALUE!</v>
      </c>
    </row>
    <row r="32" spans="1:3" hidden="1">
      <c r="A32">
        <v>7</v>
      </c>
      <c r="B32">
        <v>2</v>
      </c>
      <c r="C32" t="e">
        <f t="shared" si="0"/>
        <v>#VALUE!</v>
      </c>
    </row>
    <row r="33" spans="1:3" hidden="1">
      <c r="A33">
        <v>8</v>
      </c>
      <c r="B33">
        <v>3</v>
      </c>
      <c r="C33" t="e">
        <f t="shared" si="0"/>
        <v>#VALUE!</v>
      </c>
    </row>
    <row r="34" spans="1:3" hidden="1">
      <c r="A34">
        <v>9</v>
      </c>
      <c r="B34">
        <v>5</v>
      </c>
      <c r="C34" t="e">
        <f t="shared" si="0"/>
        <v>#VALUE!</v>
      </c>
    </row>
    <row r="35" spans="1:3" hidden="1">
      <c r="A35">
        <v>10</v>
      </c>
      <c r="B35">
        <v>7</v>
      </c>
      <c r="C35" t="e">
        <f t="shared" si="0"/>
        <v>#VALUE!</v>
      </c>
    </row>
    <row r="36" spans="1:3" hidden="1">
      <c r="A36">
        <v>11</v>
      </c>
      <c r="B36">
        <v>9</v>
      </c>
      <c r="C36" t="e">
        <f t="shared" si="0"/>
        <v>#VALUE!</v>
      </c>
    </row>
    <row r="37" spans="1:3" hidden="1">
      <c r="A37">
        <v>12</v>
      </c>
      <c r="B37">
        <v>6</v>
      </c>
      <c r="C37" t="e">
        <f t="shared" si="0"/>
        <v>#VALUE!</v>
      </c>
    </row>
    <row r="38" spans="1:3" hidden="1">
      <c r="A38">
        <v>13</v>
      </c>
      <c r="B38">
        <v>6</v>
      </c>
      <c r="C38" t="e">
        <f t="shared" si="0"/>
        <v>#VALUE!</v>
      </c>
    </row>
    <row r="39" spans="1:3" hidden="1">
      <c r="A39">
        <v>14</v>
      </c>
      <c r="B39">
        <v>4</v>
      </c>
      <c r="C39" t="e">
        <f t="shared" si="0"/>
        <v>#VALUE!</v>
      </c>
    </row>
    <row r="40" spans="1:3" hidden="1">
      <c r="A40">
        <v>15</v>
      </c>
      <c r="B40">
        <v>3</v>
      </c>
      <c r="C40" t="e">
        <f t="shared" si="0"/>
        <v>#VALUE!</v>
      </c>
    </row>
    <row r="41" spans="1:3" hidden="1">
      <c r="A41">
        <v>16</v>
      </c>
      <c r="B41">
        <v>2</v>
      </c>
      <c r="C41" t="e">
        <f t="shared" si="0"/>
        <v>#VALUE!</v>
      </c>
    </row>
    <row r="42" spans="1:3" hidden="1">
      <c r="A42">
        <v>17</v>
      </c>
      <c r="B42">
        <v>6</v>
      </c>
      <c r="C42" t="e">
        <f t="shared" si="0"/>
        <v>#VALUE!</v>
      </c>
    </row>
    <row r="43" spans="1:3" hidden="1">
      <c r="A43">
        <v>18</v>
      </c>
      <c r="B43">
        <v>2</v>
      </c>
      <c r="C43" t="e">
        <f t="shared" si="0"/>
        <v>#VALUE!</v>
      </c>
    </row>
    <row r="44" spans="1:3" hidden="1">
      <c r="A44">
        <v>19</v>
      </c>
      <c r="B44">
        <v>1</v>
      </c>
      <c r="C44" t="e">
        <f t="shared" si="0"/>
        <v>#VALUE!</v>
      </c>
    </row>
    <row r="45" spans="1:3" hidden="1">
      <c r="A45">
        <v>20</v>
      </c>
      <c r="B45">
        <v>1</v>
      </c>
      <c r="C45" t="e">
        <f t="shared" si="0"/>
        <v>#VALUE!</v>
      </c>
    </row>
    <row r="46" spans="1:3" hidden="1">
      <c r="A46">
        <v>21</v>
      </c>
      <c r="B46">
        <v>7</v>
      </c>
      <c r="C46" t="e">
        <f t="shared" si="0"/>
        <v>#VALUE!</v>
      </c>
    </row>
    <row r="47" spans="1:3" hidden="1">
      <c r="A47">
        <v>22</v>
      </c>
      <c r="B47">
        <v>9</v>
      </c>
      <c r="C47" t="e">
        <f t="shared" si="0"/>
        <v>#VALUE!</v>
      </c>
    </row>
    <row r="48" spans="1:3" hidden="1">
      <c r="A48">
        <v>23</v>
      </c>
      <c r="B48">
        <v>8</v>
      </c>
      <c r="C48" t="e">
        <f t="shared" si="0"/>
        <v>#VALUE!</v>
      </c>
    </row>
    <row r="49" spans="1:3" hidden="1">
      <c r="A49">
        <v>24</v>
      </c>
      <c r="B49">
        <v>7</v>
      </c>
      <c r="C49" t="e">
        <f t="shared" si="0"/>
        <v>#VALUE!</v>
      </c>
    </row>
    <row r="50" spans="1:3" hidden="1">
      <c r="A50">
        <v>25</v>
      </c>
      <c r="B50">
        <v>3</v>
      </c>
      <c r="C50" t="e">
        <f t="shared" si="0"/>
        <v>#VALUE!</v>
      </c>
    </row>
    <row r="51" spans="1:3" hidden="1">
      <c r="A51">
        <v>26</v>
      </c>
      <c r="B51">
        <v>6</v>
      </c>
      <c r="C51" t="e">
        <f t="shared" si="0"/>
        <v>#VALUE!</v>
      </c>
    </row>
    <row r="52" spans="1:3" hidden="1">
      <c r="A52">
        <v>27</v>
      </c>
      <c r="B52">
        <v>1</v>
      </c>
      <c r="C52" t="e">
        <f t="shared" si="0"/>
        <v>#VALUE!</v>
      </c>
    </row>
    <row r="53" spans="1:3" hidden="1">
      <c r="A53">
        <v>28</v>
      </c>
      <c r="B53">
        <v>2</v>
      </c>
      <c r="C53" t="e">
        <f t="shared" si="0"/>
        <v>#VALUE!</v>
      </c>
    </row>
    <row r="54" spans="1:3" hidden="1">
      <c r="A54">
        <v>29</v>
      </c>
      <c r="B54">
        <v>3</v>
      </c>
      <c r="C54" t="e">
        <f t="shared" si="0"/>
        <v>#VALUE!</v>
      </c>
    </row>
    <row r="55" spans="1:3" hidden="1">
      <c r="A55">
        <v>30</v>
      </c>
      <c r="B55">
        <v>4</v>
      </c>
      <c r="C55" t="e">
        <f t="shared" si="0"/>
        <v>#VALUE!</v>
      </c>
    </row>
    <row r="56" spans="1:3" hidden="1">
      <c r="A56">
        <v>31</v>
      </c>
      <c r="B56">
        <v>5</v>
      </c>
      <c r="C56" t="e">
        <f t="shared" si="0"/>
        <v>#VALUE!</v>
      </c>
    </row>
    <row r="57" spans="1:3" hidden="1">
      <c r="A57">
        <v>32</v>
      </c>
      <c r="B57">
        <v>7</v>
      </c>
      <c r="C57" t="e">
        <f t="shared" si="0"/>
        <v>#VALUE!</v>
      </c>
    </row>
    <row r="58" spans="1:3" hidden="1">
      <c r="A58">
        <v>33</v>
      </c>
      <c r="B58">
        <v>8</v>
      </c>
      <c r="C58" t="e">
        <f t="shared" si="0"/>
        <v>#VALUE!</v>
      </c>
    </row>
    <row r="59" spans="1:3" hidden="1">
      <c r="A59">
        <v>34</v>
      </c>
      <c r="B59">
        <v>9</v>
      </c>
      <c r="C59" t="e">
        <f t="shared" si="0"/>
        <v>#VALUE!</v>
      </c>
    </row>
    <row r="60" spans="1:3" hidden="1">
      <c r="A60">
        <v>35</v>
      </c>
      <c r="B60">
        <v>5</v>
      </c>
      <c r="C60" t="e">
        <f t="shared" si="0"/>
        <v>#VALUE!</v>
      </c>
    </row>
    <row r="61" spans="1:3" hidden="1">
      <c r="A61">
        <v>36</v>
      </c>
      <c r="B61">
        <v>3</v>
      </c>
      <c r="C61" t="e">
        <f t="shared" si="0"/>
        <v>#VALUE!</v>
      </c>
    </row>
    <row r="62" spans="1:3" hidden="1">
      <c r="A62">
        <v>37</v>
      </c>
      <c r="B62">
        <v>5</v>
      </c>
      <c r="C62" t="e">
        <f t="shared" si="0"/>
        <v>#VALUE!</v>
      </c>
    </row>
    <row r="63" spans="1:3" hidden="1">
      <c r="A63">
        <v>38</v>
      </c>
      <c r="B63">
        <v>7</v>
      </c>
      <c r="C63" t="e">
        <f t="shared" si="0"/>
        <v>#VALUE!</v>
      </c>
    </row>
    <row r="64" spans="1:3" hidden="1">
      <c r="A64">
        <v>39</v>
      </c>
      <c r="B64">
        <v>3</v>
      </c>
      <c r="C64" t="e">
        <f t="shared" si="0"/>
        <v>#VALUE!</v>
      </c>
    </row>
    <row r="65" spans="1:9" hidden="1">
      <c r="A65">
        <v>40</v>
      </c>
      <c r="B65">
        <v>6</v>
      </c>
      <c r="C65" t="e">
        <f t="shared" si="0"/>
        <v>#VALUE!</v>
      </c>
    </row>
    <row r="66" spans="1:9" hidden="1">
      <c r="A66">
        <v>41</v>
      </c>
      <c r="B66">
        <v>7</v>
      </c>
      <c r="C66" t="e">
        <f t="shared" si="0"/>
        <v>#VALUE!</v>
      </c>
    </row>
    <row r="67" spans="1:9" hidden="1">
      <c r="A67">
        <v>42</v>
      </c>
      <c r="B67">
        <v>8</v>
      </c>
      <c r="C67" t="e">
        <f t="shared" si="0"/>
        <v>#VALUE!</v>
      </c>
    </row>
    <row r="68" spans="1:9" hidden="1">
      <c r="A68">
        <v>43</v>
      </c>
      <c r="B68">
        <v>2</v>
      </c>
      <c r="C68" t="e">
        <f t="shared" si="0"/>
        <v>#VALUE!</v>
      </c>
    </row>
    <row r="69" spans="1:9" hidden="1">
      <c r="A69">
        <v>44</v>
      </c>
      <c r="B69">
        <v>5</v>
      </c>
      <c r="C69" t="e">
        <f t="shared" si="0"/>
        <v>#VALUE!</v>
      </c>
    </row>
    <row r="70" spans="1:9" hidden="1">
      <c r="A70">
        <v>45</v>
      </c>
      <c r="B70">
        <v>7</v>
      </c>
      <c r="C70" t="e">
        <f t="shared" si="0"/>
        <v>#VALUE!</v>
      </c>
    </row>
    <row r="71" spans="1:9" hidden="1">
      <c r="A71" s="29" t="s">
        <v>13</v>
      </c>
      <c r="C71" s="3" t="e">
        <f>SUM(C26:C70)</f>
        <v>#VALUE!</v>
      </c>
      <c r="D71" s="3" t="e">
        <f>B23</f>
        <v>#VALUE!</v>
      </c>
      <c r="E71" s="3" t="e">
        <f>B14</f>
        <v>#VALUE!</v>
      </c>
      <c r="F71" s="3" t="e">
        <f>B17</f>
        <v>#VALUE!</v>
      </c>
      <c r="G71" s="3" t="str">
        <f>B19</f>
        <v>o</v>
      </c>
      <c r="H71" s="3" t="e">
        <f>G71/C71</f>
        <v>#VALUE!</v>
      </c>
    </row>
    <row r="72" spans="1:9" hidden="1">
      <c r="C72" s="3" t="e">
        <f>D72/9</f>
        <v>#VALUE!</v>
      </c>
      <c r="D72" s="3" t="e">
        <f>D71*2.5</f>
        <v>#VALUE!</v>
      </c>
      <c r="E72" s="3" t="e">
        <f>E71*2.5</f>
        <v>#VALUE!</v>
      </c>
      <c r="F72" s="3" t="e">
        <f>F71*2.5</f>
        <v>#VALUE!</v>
      </c>
      <c r="G72" s="3" t="e">
        <f>G71*2.5</f>
        <v>#VALUE!</v>
      </c>
      <c r="H72" s="3" t="e">
        <f>H71*2.5</f>
        <v>#VALUE!</v>
      </c>
    </row>
    <row r="73" spans="1:9" hidden="1">
      <c r="C73" s="3" t="e">
        <f>(C72+C71)/2</f>
        <v>#VALUE!</v>
      </c>
      <c r="D73" s="3" t="e">
        <f>$C$73*D71</f>
        <v>#VALUE!</v>
      </c>
      <c r="E73" s="3" t="e">
        <f>$C$73*E71</f>
        <v>#VALUE!</v>
      </c>
      <c r="F73" s="3" t="e">
        <f>$C$73*F71</f>
        <v>#VALUE!</v>
      </c>
      <c r="G73" s="3" t="e">
        <f>$C$73*G71</f>
        <v>#VALUE!</v>
      </c>
      <c r="H73" s="3" t="e">
        <f>$C$73*H71</f>
        <v>#VALUE!</v>
      </c>
    </row>
    <row r="74" spans="1:9" hidden="1">
      <c r="C74" s="3" t="e">
        <f>SUM(C72:C73)</f>
        <v>#VALUE!</v>
      </c>
      <c r="D74" s="3" t="e">
        <f>$C$74*C71</f>
        <v>#VALUE!</v>
      </c>
      <c r="E74" s="3" t="e">
        <f>$C$74*D71</f>
        <v>#VALUE!</v>
      </c>
      <c r="F74" s="3" t="e">
        <f>$C$74*E71</f>
        <v>#VALUE!</v>
      </c>
      <c r="G74" s="3" t="e">
        <f>$C$74*F71</f>
        <v>#VALUE!</v>
      </c>
      <c r="H74" s="3" t="e">
        <f>$C$74*G71</f>
        <v>#VALUE!</v>
      </c>
    </row>
    <row r="75" spans="1:9" hidden="1">
      <c r="C75" s="2"/>
      <c r="D75" s="2"/>
      <c r="E75" s="2"/>
      <c r="F75" s="2"/>
      <c r="G75" s="2"/>
      <c r="H75" s="2"/>
      <c r="I75" s="1"/>
    </row>
    <row r="76" spans="1:9" hidden="1">
      <c r="C76" s="2"/>
      <c r="D76" s="2"/>
      <c r="E76" s="2"/>
      <c r="F76" s="2"/>
      <c r="G76" s="2"/>
      <c r="H76" s="2"/>
      <c r="I76" s="1"/>
    </row>
    <row r="77" spans="1:9" hidden="1">
      <c r="C77" s="2"/>
      <c r="D77" s="2"/>
      <c r="E77" s="2"/>
      <c r="F77" s="2"/>
      <c r="G77" s="2"/>
      <c r="H77" s="2"/>
      <c r="I77" s="1"/>
    </row>
    <row r="78" spans="1:9" hidden="1">
      <c r="C78" s="2"/>
      <c r="D78" s="2"/>
      <c r="E78" s="2"/>
      <c r="F78" s="2"/>
      <c r="G78" s="2"/>
      <c r="H78" s="2"/>
      <c r="I78" s="1"/>
    </row>
    <row r="79" spans="1:9" hidden="1">
      <c r="C79" s="2"/>
      <c r="D79" s="2"/>
      <c r="E79" s="2"/>
      <c r="F79" s="2"/>
      <c r="G79" s="2"/>
      <c r="H79" s="2"/>
      <c r="I79" s="1"/>
    </row>
    <row r="80" spans="1:9" hidden="1">
      <c r="C80" s="2"/>
      <c r="D80" s="2"/>
      <c r="E80" s="2"/>
      <c r="F80" s="2"/>
      <c r="G80" s="2"/>
      <c r="H80" s="2"/>
      <c r="I80" s="1"/>
    </row>
    <row r="81" spans="3:9" hidden="1">
      <c r="C81" s="1"/>
      <c r="D81" s="1"/>
      <c r="E81" s="1"/>
      <c r="F81" s="1"/>
      <c r="G81" s="1"/>
      <c r="H81" s="1"/>
      <c r="I81" s="1"/>
    </row>
    <row r="82" spans="3:9" hidden="1">
      <c r="C82" s="1"/>
      <c r="D82" s="1"/>
      <c r="E82" s="1"/>
      <c r="F82" s="1"/>
      <c r="G82" s="1"/>
      <c r="H82" s="1"/>
      <c r="I82" s="1"/>
    </row>
  </sheetData>
  <sheetProtection algorithmName="SHA-512" hashValue="ZozvDyVrSqBNzOdbKBYrNz9BYCZU4FKk0bd4oSzush5BdpT4nO0jIfWwAkH3GtLG9A6PYtMdudidIHQCnLYtWQ==" saltValue="bBs5fb1Xpn/a2pRrF22NLg==" spinCount="100000" sheet="1" objects="1" scenarios="1" selectLockedCells="1"/>
  <pageMargins left="0.7" right="0.7" top="0.75" bottom="0.75" header="0.3" footer="0.3"/>
  <pageSetup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E59"/>
  <sheetViews>
    <sheetView showGridLines="0" zoomScaleNormal="100" workbookViewId="0">
      <selection activeCell="D35" sqref="D35"/>
    </sheetView>
  </sheetViews>
  <sheetFormatPr defaultColWidth="0" defaultRowHeight="12.75" zeroHeight="1"/>
  <cols>
    <col min="1" max="1" width="8" style="9" customWidth="1"/>
    <col min="2" max="2" width="62.140625" style="9" customWidth="1"/>
    <col min="3" max="3" width="3.7109375" style="9" customWidth="1"/>
    <col min="4" max="4" width="15.42578125" style="9" customWidth="1"/>
    <col min="5" max="5" width="3.7109375" style="9" customWidth="1"/>
    <col min="6" max="6" width="15.42578125" style="9" customWidth="1"/>
    <col min="7" max="7" width="4.28515625" style="9" customWidth="1"/>
    <col min="8" max="10" width="8.85546875" style="9" hidden="1" customWidth="1"/>
    <col min="11" max="11" width="23.7109375" style="9" hidden="1" customWidth="1"/>
    <col min="12" max="12" width="8.85546875" style="9" hidden="1" customWidth="1"/>
    <col min="13" max="13" width="16.28515625" style="9" hidden="1" customWidth="1"/>
    <col min="14" max="14" width="13.5703125" style="9" hidden="1" customWidth="1"/>
    <col min="15" max="15" width="8.85546875" style="9" hidden="1" customWidth="1"/>
    <col min="16" max="16" width="58.28515625" style="9" hidden="1" customWidth="1"/>
    <col min="17" max="18" width="8.85546875" style="9" hidden="1" customWidth="1"/>
    <col min="19" max="19" width="18" style="9" hidden="1" customWidth="1"/>
    <col min="20" max="20" width="13.85546875" style="9" hidden="1" customWidth="1"/>
    <col min="21" max="21" width="8.85546875" style="9" hidden="1"/>
    <col min="22" max="22" width="21.28515625" style="9" hidden="1"/>
    <col min="23" max="23" width="16.85546875" style="9" hidden="1"/>
    <col min="24" max="24" width="12.5703125" style="9" hidden="1"/>
    <col min="25" max="25" width="15.42578125" style="9" hidden="1"/>
    <col min="26" max="26" width="15" style="9" hidden="1"/>
    <col min="27" max="27" width="18.140625" style="9" hidden="1"/>
    <col min="28" max="28" width="12.5703125" style="9" hidden="1"/>
    <col min="29" max="29" width="14.85546875" style="9" hidden="1"/>
    <col min="30" max="30" width="15.140625" style="9" hidden="1"/>
    <col min="31" max="31" width="86.5703125" style="9" hidden="1"/>
    <col min="32" max="50" width="8.85546875" style="9" hidden="1"/>
    <col min="51" max="51" width="19.7109375" style="9" hidden="1"/>
    <col min="52" max="52" width="13.5703125" style="9" hidden="1"/>
    <col min="53" max="53" width="12.140625" style="9" hidden="1"/>
    <col min="54" max="54" width="17.7109375" style="9" hidden="1"/>
    <col min="55" max="55" width="11.140625" style="9" hidden="1"/>
    <col min="56" max="56" width="15" style="9" hidden="1"/>
    <col min="57" max="57" width="81.7109375" style="9" hidden="1"/>
    <col min="58" max="78" width="8.85546875" style="9" hidden="1"/>
    <col min="79" max="79" width="126.42578125" style="9" hidden="1"/>
    <col min="80" max="104" width="8.85546875" style="9" hidden="1"/>
    <col min="105" max="105" width="85.7109375" style="9" hidden="1"/>
    <col min="106" max="16384" width="8.85546875" style="9" hidden="1"/>
  </cols>
  <sheetData>
    <row r="1" spans="1:109"/>
    <row r="2" spans="1:109" s="34" customFormat="1" ht="61.5" customHeight="1">
      <c r="A2" s="61" t="e">
        <f>CONCATENATE(Identification!B1&amp;" Company is a merchandiser that buys and resells "&amp;N2&amp;".  The Company uses the periodic inventory system and occasionally receives defective inventory that is either returned or subject to a purchase price adjustment.  All purchases are on terms of "&amp;J2&amp;".")</f>
        <v>#VALUE!</v>
      </c>
      <c r="B2" s="61"/>
      <c r="C2" s="61"/>
      <c r="D2" s="61"/>
      <c r="E2" s="61"/>
      <c r="F2" s="61"/>
      <c r="H2" s="51" t="e">
        <f>I2/100</f>
        <v>#VALUE!</v>
      </c>
      <c r="I2" s="34" t="e">
        <f>IF(J2=O3,2,IF(J2=O4,3,IF(J2=O2,1)))</f>
        <v>#VALUE!</v>
      </c>
      <c r="J2" s="34" t="e">
        <f>IF(L2=1,O2,IF(L4=1,O3,IF(L11=1,O4,IF(L18=1,O4,IF(L19=1,O3,IF(L20=1,O2,""))))))</f>
        <v>#VALUE!</v>
      </c>
      <c r="K2" s="34" t="s">
        <v>20</v>
      </c>
      <c r="L2" s="34" t="e">
        <f>IF($N$29&lt;3,1,0)</f>
        <v>#VALUE!</v>
      </c>
      <c r="M2" s="35" t="e">
        <f>ROUND(Z30,0)</f>
        <v>#VALUE!</v>
      </c>
      <c r="N2" s="34" t="e">
        <f>IF(L2=1,K2,IF(L4=1,K4,IF(L11=1,K11,IF(L18=1,K18,IF(L19=1,K19,IF(L20=1,K20,""))))))</f>
        <v>#VALUE!</v>
      </c>
      <c r="O2" s="34" t="s">
        <v>26</v>
      </c>
      <c r="P2" s="36" t="e">
        <f>CONCATENATE(Identification!$B$1&amp;" Company purchased balls, gloves, and bats for "&amp;Z30&amp;" on account.")</f>
        <v>#VALUE!</v>
      </c>
      <c r="S2" s="34" t="e">
        <f>IF(L2=1,P2,IF(L4=1,P4,IF(L11=1,P11,IF(L18=1,P18,IF(L19=1,P19,IF(L20=1,P20,""))))))</f>
        <v>#VALUE!</v>
      </c>
      <c r="Z2" s="37" t="e">
        <f>AA2*AB2</f>
        <v>#VALUE!</v>
      </c>
      <c r="AA2" s="34" t="e">
        <f>IF($N$29&lt;3,1,0)</f>
        <v>#VALUE!</v>
      </c>
      <c r="AB2" s="35" t="e">
        <f>ROUND($T$10/15,0)</f>
        <v>#VALUE!</v>
      </c>
      <c r="AC2" s="34" t="e">
        <f>TEXT(AB2, "$#,###,###")</f>
        <v>#VALUE!</v>
      </c>
      <c r="AD2" s="38" t="e">
        <f>AB2*1</f>
        <v>#VALUE!</v>
      </c>
      <c r="AE2" s="36" t="e">
        <f>CONCATENATE("During the current year merchandise costing "&amp;AC2&amp;" was returned to suppliers for full credit on account.")</f>
        <v>#VALUE!</v>
      </c>
      <c r="AF2" s="34" t="e">
        <f>IF(AA2=1,AE2,IF(AA4=1,AE4,IF(AA11=1,AE11,IF(AA18=1,AE18,IF(AA19=1,AE19,IF(AA20=1,AE20,""))))))</f>
        <v>#VALUE!</v>
      </c>
      <c r="BX2" s="35" t="e">
        <f>ROUND(V29/7,0)</f>
        <v>#VALUE!</v>
      </c>
      <c r="BY2" s="34" t="e">
        <f>TEXT(BX2, "$#,###,###")</f>
        <v>#VALUE!</v>
      </c>
      <c r="BZ2" s="34" t="e">
        <f>IF($N$29&lt;3,1,0)</f>
        <v>#VALUE!</v>
      </c>
      <c r="CA2" s="36" t="e">
        <f>CONCATENATE(Identification!$B$1&amp;" purchased an annual insurance policy on October 1 for "&amp;BY2&amp;".  On October 1, the policy was initially recorded as prepaid insurance.")</f>
        <v>#VALUE!</v>
      </c>
      <c r="CE2" s="34" t="e">
        <f>IF(BZ2=1,CA2,IF(BZ4=1,CA4,IF(BZ11=1,CA11,IF(BZ18=1,CA18,IF(BZ19=1,CA19,IF(BZ20=1,CA20,""))))))</f>
        <v>#VALUE!</v>
      </c>
      <c r="CW2" s="37" t="e">
        <f>90000*CZ2</f>
        <v>#VALUE!</v>
      </c>
      <c r="CX2" s="35">
        <v>25000</v>
      </c>
      <c r="CY2" s="34" t="str">
        <f>TEXT(CX2, "$#,###,###")</f>
        <v>$25,000</v>
      </c>
      <c r="CZ2" s="34" t="e">
        <f>IF($N$29&lt;3,1,0)</f>
        <v>#VALUE!</v>
      </c>
      <c r="DA2" s="36" t="str">
        <f>CONCATENATE("The company began the year with $40,000 of supplies inventory, purchased an additional $75,000 (which was recored as Supplies), and ended the year with "&amp;CY2&amp;".")</f>
        <v>The company began the year with $40,000 of supplies inventory, purchased an additional $75,000 (which was recored as Supplies), and ended the year with $25,000.</v>
      </c>
      <c r="DE2" s="34" t="e">
        <f>IF(CZ2=1,DA2,IF(CZ4=1,DA4,IF(CZ11=1,DA11,IF(CZ18=1,DA18,IF(CZ19=1,DA19,IF(CZ20=1,DA20,""))))))</f>
        <v>#VALUE!</v>
      </c>
    </row>
    <row r="3" spans="1:109" s="34" customFormat="1" ht="60.75" customHeight="1">
      <c r="A3" s="62" t="s">
        <v>29</v>
      </c>
      <c r="B3" s="62"/>
      <c r="C3" s="62"/>
      <c r="D3" s="62"/>
      <c r="E3" s="62"/>
      <c r="F3" s="62"/>
      <c r="I3" s="34" t="e">
        <f>TEXT(I2, "#,###,###")</f>
        <v>#VALUE!</v>
      </c>
      <c r="M3" s="39"/>
      <c r="O3" s="34" t="s">
        <v>27</v>
      </c>
      <c r="P3" s="36"/>
      <c r="S3" s="40">
        <v>0</v>
      </c>
      <c r="T3" s="38">
        <f>S3</f>
        <v>0</v>
      </c>
      <c r="V3" s="52">
        <f>ROUND(S3/1.2,0)</f>
        <v>0</v>
      </c>
      <c r="W3" s="53" t="e">
        <f>ROUND(V3*$H$2,0)</f>
        <v>#VALUE!</v>
      </c>
      <c r="X3" s="37">
        <f>ROUND((S3-V3)/4,0)</f>
        <v>0</v>
      </c>
      <c r="AB3" s="39"/>
      <c r="AE3" s="36"/>
      <c r="BE3" s="48"/>
      <c r="BX3" s="39"/>
      <c r="CE3" s="34">
        <v>0</v>
      </c>
      <c r="CX3" s="39"/>
    </row>
    <row r="4" spans="1:109" s="34" customFormat="1" ht="41.25" customHeight="1">
      <c r="A4" s="41" t="s">
        <v>5</v>
      </c>
      <c r="B4" s="63" t="e">
        <f>S2</f>
        <v>#VALUE!</v>
      </c>
      <c r="C4" s="63"/>
      <c r="D4" s="63"/>
      <c r="E4" s="63"/>
      <c r="F4" s="63"/>
      <c r="K4" s="34" t="s">
        <v>21</v>
      </c>
      <c r="L4" s="34" t="e">
        <f>IF($N$29=3,1,IF($N$29=4,1,0))</f>
        <v>#VALUE!</v>
      </c>
      <c r="M4" s="35" t="e">
        <f>ROUND(Y35,0)</f>
        <v>#VALUE!</v>
      </c>
      <c r="O4" s="34" t="s">
        <v>28</v>
      </c>
      <c r="P4" s="36" t="e">
        <f>CONCATENATE(Identification!$B$1&amp;" Company purchased tables and chairs for "&amp;Y35&amp;" on account.")</f>
        <v>#VALUE!</v>
      </c>
      <c r="S4" s="37" t="e">
        <f>M2</f>
        <v>#VALUE!</v>
      </c>
      <c r="T4" s="37" t="e">
        <f>S4*L2</f>
        <v>#VALUE!</v>
      </c>
      <c r="V4" s="52" t="e">
        <f t="shared" ref="V4:V9" si="0">ROUND(S4/1.2,0)</f>
        <v>#VALUE!</v>
      </c>
      <c r="W4" s="53" t="e">
        <f t="shared" ref="W4:W9" si="1">ROUND(V4*$H$2,0)</f>
        <v>#VALUE!</v>
      </c>
      <c r="X4" s="37" t="e">
        <f>ROUND((S4-V4)/4,0)</f>
        <v>#VALUE!</v>
      </c>
      <c r="Z4" s="37" t="e">
        <f>AA4*AB4</f>
        <v>#VALUE!</v>
      </c>
      <c r="AA4" s="34" t="e">
        <f>IF($N$29=3,1,IF($N$29=4,1,0))</f>
        <v>#VALUE!</v>
      </c>
      <c r="AB4" s="35" t="e">
        <f>ROUND($T$10/12,0)</f>
        <v>#VALUE!</v>
      </c>
      <c r="AC4" s="34" t="e">
        <f>TEXT(AB4, "$#,###,###")</f>
        <v>#VALUE!</v>
      </c>
      <c r="AD4" s="38" t="e">
        <f>AB4*1</f>
        <v>#VALUE!</v>
      </c>
      <c r="AE4" s="36" t="e">
        <f>CONCATENATE("During the current year merchandise costing "&amp;AC4&amp;" was returned to suppliers for full credit on account.")</f>
        <v>#VALUE!</v>
      </c>
      <c r="BX4" s="35" t="e">
        <f>BX2*2</f>
        <v>#VALUE!</v>
      </c>
      <c r="BY4" s="34" t="e">
        <f>TEXT(BX4, "$#,###,###")</f>
        <v>#VALUE!</v>
      </c>
      <c r="BZ4" s="34" t="e">
        <f>IF($N$29=3,1,IF($N$29=4,1,0))</f>
        <v>#VALUE!</v>
      </c>
      <c r="CA4" s="36" t="e">
        <f>CONCATENATE(Identification!$B$1&amp;" purchased an annual insurance policy on October 1 for "&amp;BY4&amp;".  On October 1, the policy was initially recorded as insurance expense.")</f>
        <v>#VALUE!</v>
      </c>
      <c r="CE4" s="38" t="e">
        <f>ROUND(BX2,0)*0.75</f>
        <v>#VALUE!</v>
      </c>
      <c r="CF4" s="38" t="e">
        <f>CE4*AA2</f>
        <v>#VALUE!</v>
      </c>
      <c r="CQ4" s="35">
        <v>25000</v>
      </c>
      <c r="CW4" s="37" t="e">
        <f>85000*CZ4</f>
        <v>#VALUE!</v>
      </c>
      <c r="CX4" s="35">
        <v>30000</v>
      </c>
      <c r="CY4" s="34" t="str">
        <f>TEXT(CX4, "$#,###,###")</f>
        <v>$30,000</v>
      </c>
      <c r="CZ4" s="34" t="e">
        <f>IF($N$29=3,1,IF($N$29=4,1,0))</f>
        <v>#VALUE!</v>
      </c>
      <c r="DA4" s="36" t="str">
        <f>CONCATENATE("The company began the year with $40,000 of supplies inventory, purchased an additional $75,000 (which was recored as Supplies), and ended the year with "&amp;CY4&amp;".")</f>
        <v>The company began the year with $40,000 of supplies inventory, purchased an additional $75,000 (which was recored as Supplies), and ended the year with $30,000.</v>
      </c>
    </row>
    <row r="5" spans="1:109" s="34" customFormat="1" ht="24" customHeight="1">
      <c r="A5" s="16" t="s">
        <v>7</v>
      </c>
      <c r="B5" s="16"/>
      <c r="C5" s="16"/>
      <c r="D5" s="16"/>
      <c r="E5" s="16"/>
      <c r="F5" s="17" t="s">
        <v>6</v>
      </c>
      <c r="H5" s="9"/>
      <c r="I5" s="9"/>
      <c r="J5" s="9"/>
      <c r="K5" s="15" t="s">
        <v>12</v>
      </c>
      <c r="M5" s="39"/>
      <c r="P5" s="36"/>
      <c r="S5" s="37" t="e">
        <f>M4</f>
        <v>#VALUE!</v>
      </c>
      <c r="T5" s="37" t="e">
        <f>S5*L4</f>
        <v>#VALUE!</v>
      </c>
      <c r="V5" s="52" t="e">
        <f t="shared" si="0"/>
        <v>#VALUE!</v>
      </c>
      <c r="W5" s="53" t="e">
        <f t="shared" si="1"/>
        <v>#VALUE!</v>
      </c>
      <c r="X5" s="37" t="e">
        <f t="shared" ref="X5:X9" si="2">ROUND((S5-V5)/4,0)</f>
        <v>#VALUE!</v>
      </c>
      <c r="AB5" s="39"/>
      <c r="AE5" s="36"/>
      <c r="BX5" s="39"/>
      <c r="CE5" s="38" t="e">
        <f>ROUND(BX4,0)*0.75</f>
        <v>#VALUE!</v>
      </c>
      <c r="CF5" s="38" t="e">
        <f>CE5*AA4</f>
        <v>#VALUE!</v>
      </c>
      <c r="CX5" s="39"/>
    </row>
    <row r="6" spans="1:109" s="34" customFormat="1" ht="24" customHeight="1">
      <c r="A6" s="19" t="s">
        <v>0</v>
      </c>
      <c r="B6" s="19" t="s">
        <v>1</v>
      </c>
      <c r="C6" s="19"/>
      <c r="D6" s="19" t="s">
        <v>2</v>
      </c>
      <c r="E6" s="19"/>
      <c r="F6" s="19" t="s">
        <v>3</v>
      </c>
      <c r="H6" s="18"/>
      <c r="I6" s="18"/>
      <c r="J6" s="18"/>
      <c r="K6" s="18"/>
      <c r="M6" s="39"/>
      <c r="P6" s="36"/>
      <c r="S6" s="37" t="e">
        <f>M11</f>
        <v>#VALUE!</v>
      </c>
      <c r="T6" s="37" t="e">
        <f>S6*L11</f>
        <v>#VALUE!</v>
      </c>
      <c r="V6" s="52" t="e">
        <f t="shared" si="0"/>
        <v>#VALUE!</v>
      </c>
      <c r="W6" s="53" t="e">
        <f t="shared" si="1"/>
        <v>#VALUE!</v>
      </c>
      <c r="X6" s="37" t="e">
        <f t="shared" si="2"/>
        <v>#VALUE!</v>
      </c>
      <c r="AB6" s="39"/>
      <c r="AE6" s="36"/>
      <c r="BX6" s="39"/>
      <c r="CE6" s="38" t="e">
        <f>ROUND(BX11,0)*0.75</f>
        <v>#VALUE!</v>
      </c>
      <c r="CF6" s="38" t="e">
        <f>CE6*AA11</f>
        <v>#VALUE!</v>
      </c>
      <c r="CX6" s="39"/>
    </row>
    <row r="7" spans="1:109" s="34" customFormat="1" ht="24" customHeight="1">
      <c r="A7" s="20" t="s">
        <v>6</v>
      </c>
      <c r="B7" s="27"/>
      <c r="C7" s="21" t="e">
        <f>IF($I$9=1,$K$5,"")</f>
        <v>#VALUE!</v>
      </c>
      <c r="D7" s="32">
        <v>0</v>
      </c>
      <c r="E7" s="21"/>
      <c r="F7" s="22"/>
      <c r="H7" s="18">
        <f>IF(B7="Purchases",1,0)</f>
        <v>0</v>
      </c>
      <c r="I7" s="18" t="e">
        <f>IF(D7=T10,1,0)</f>
        <v>#VALUE!</v>
      </c>
      <c r="J7" s="18"/>
      <c r="K7" s="18"/>
      <c r="M7" s="39"/>
      <c r="P7" s="36"/>
      <c r="S7" s="37" t="e">
        <f>M18</f>
        <v>#VALUE!</v>
      </c>
      <c r="T7" s="37" t="e">
        <f>S7*L18</f>
        <v>#VALUE!</v>
      </c>
      <c r="V7" s="52" t="e">
        <f t="shared" si="0"/>
        <v>#VALUE!</v>
      </c>
      <c r="W7" s="53" t="e">
        <f t="shared" si="1"/>
        <v>#VALUE!</v>
      </c>
      <c r="X7" s="37" t="e">
        <f t="shared" si="2"/>
        <v>#VALUE!</v>
      </c>
      <c r="AB7" s="39"/>
      <c r="AE7" s="36"/>
      <c r="BX7" s="39"/>
      <c r="CE7" s="38" t="e">
        <f t="shared" ref="CE7:CE8" si="3">ROUND(BX18,0)*0.75</f>
        <v>#VALUE!</v>
      </c>
      <c r="CF7" s="38" t="e">
        <f>CE7*AA18</f>
        <v>#VALUE!</v>
      </c>
      <c r="CX7" s="39"/>
    </row>
    <row r="8" spans="1:109" s="34" customFormat="1" ht="24" customHeight="1">
      <c r="A8" s="23"/>
      <c r="B8" s="28"/>
      <c r="C8" s="21" t="e">
        <f>C7</f>
        <v>#VALUE!</v>
      </c>
      <c r="D8" s="24"/>
      <c r="E8" s="21"/>
      <c r="F8" s="42">
        <f>D7</f>
        <v>0</v>
      </c>
      <c r="H8" s="18">
        <f>IF(B8="Accounts Payable",1,0)</f>
        <v>0</v>
      </c>
      <c r="I8" s="18"/>
      <c r="J8" s="18"/>
      <c r="K8" s="18"/>
      <c r="M8" s="39"/>
      <c r="P8" s="36"/>
      <c r="S8" s="37" t="e">
        <f>M19</f>
        <v>#VALUE!</v>
      </c>
      <c r="T8" s="37" t="e">
        <f t="shared" ref="T8" si="4">S8*L19</f>
        <v>#VALUE!</v>
      </c>
      <c r="V8" s="52" t="e">
        <f t="shared" si="0"/>
        <v>#VALUE!</v>
      </c>
      <c r="W8" s="53" t="e">
        <f t="shared" si="1"/>
        <v>#VALUE!</v>
      </c>
      <c r="X8" s="37" t="e">
        <f t="shared" si="2"/>
        <v>#VALUE!</v>
      </c>
      <c r="AB8" s="39"/>
      <c r="AE8" s="36"/>
      <c r="BX8" s="39"/>
      <c r="CE8" s="38" t="e">
        <f t="shared" si="3"/>
        <v>#VALUE!</v>
      </c>
      <c r="CF8" s="38" t="e">
        <f>CE8*AA19</f>
        <v>#VALUE!</v>
      </c>
      <c r="CX8" s="39"/>
    </row>
    <row r="9" spans="1:109" s="34" customFormat="1" ht="24" customHeight="1">
      <c r="A9" s="23"/>
      <c r="B9" s="25" t="e">
        <f>CONCATENATE("Purchased inventory on account, terms "&amp;J2&amp;"")</f>
        <v>#VALUE!</v>
      </c>
      <c r="C9" s="25"/>
      <c r="D9" s="26"/>
      <c r="E9" s="26"/>
      <c r="F9" s="26"/>
      <c r="I9" s="34" t="e">
        <f>H7*H8*I7</f>
        <v>#VALUE!</v>
      </c>
      <c r="K9" s="18"/>
      <c r="M9" s="39"/>
      <c r="P9" s="36"/>
      <c r="S9" s="37" t="e">
        <f>M20</f>
        <v>#VALUE!</v>
      </c>
      <c r="T9" s="37" t="e">
        <f>S9*L20</f>
        <v>#VALUE!</v>
      </c>
      <c r="V9" s="52" t="e">
        <f t="shared" si="0"/>
        <v>#VALUE!</v>
      </c>
      <c r="W9" s="53" t="e">
        <f t="shared" si="1"/>
        <v>#VALUE!</v>
      </c>
      <c r="X9" s="37" t="e">
        <f t="shared" si="2"/>
        <v>#VALUE!</v>
      </c>
      <c r="AB9" s="39"/>
      <c r="AE9" s="36"/>
      <c r="BX9" s="39"/>
      <c r="CE9" s="38" t="e">
        <f>ROUND(BX20,0)*0.75</f>
        <v>#VALUE!</v>
      </c>
      <c r="CF9" s="38" t="e">
        <f>CE9*AA20</f>
        <v>#VALUE!</v>
      </c>
      <c r="CX9" s="39"/>
    </row>
    <row r="10" spans="1:109" s="34" customFormat="1" ht="24" customHeight="1">
      <c r="A10" s="15"/>
      <c r="B10" s="48"/>
      <c r="C10" s="48"/>
      <c r="D10" s="48"/>
      <c r="E10" s="48"/>
      <c r="F10" s="48"/>
      <c r="M10" s="39"/>
      <c r="P10" s="36"/>
      <c r="T10" s="38" t="e">
        <f>SUM(T3:T9)</f>
        <v>#VALUE!</v>
      </c>
      <c r="AB10" s="39"/>
      <c r="AE10" s="36"/>
      <c r="BX10" s="39"/>
      <c r="CE10" s="38"/>
      <c r="CF10" s="38" t="e">
        <f>SUM(CF4:CF9)</f>
        <v>#VALUE!</v>
      </c>
      <c r="CX10" s="39"/>
    </row>
    <row r="11" spans="1:109" s="34" customFormat="1" ht="66" customHeight="1">
      <c r="A11" s="48" t="s">
        <v>4</v>
      </c>
      <c r="B11" s="48" t="e">
        <f>AF2</f>
        <v>#VALUE!</v>
      </c>
      <c r="C11" s="48"/>
      <c r="K11" s="34" t="s">
        <v>22</v>
      </c>
      <c r="L11" s="34" t="e">
        <f>IF($N$29=5,1,0)</f>
        <v>#VALUE!</v>
      </c>
      <c r="M11" s="35" t="e">
        <f>ROUND(Z29,0)</f>
        <v>#VALUE!</v>
      </c>
      <c r="P11" s="36" t="e">
        <f>CONCATENATE(Identification!$B$1&amp;" Company purchased coats and sweaters for "&amp;Z29&amp;" on account.")</f>
        <v>#VALUE!</v>
      </c>
      <c r="S11" s="40">
        <v>0</v>
      </c>
      <c r="T11" s="38">
        <f>S11*L9</f>
        <v>0</v>
      </c>
      <c r="Z11" s="37" t="e">
        <f>AA11*AB11</f>
        <v>#VALUE!</v>
      </c>
      <c r="AA11" s="34" t="e">
        <f>IF($N$29=5,1,0)</f>
        <v>#VALUE!</v>
      </c>
      <c r="AB11" s="35" t="e">
        <f>ROUND($T$10/20,0)</f>
        <v>#VALUE!</v>
      </c>
      <c r="AC11" s="34" t="e">
        <f>TEXT(AB11, "$#,###,###")</f>
        <v>#VALUE!</v>
      </c>
      <c r="AD11" s="38" t="e">
        <f>AB11*1</f>
        <v>#VALUE!</v>
      </c>
      <c r="AE11" s="36" t="e">
        <f>CONCATENATE("During the current year merchandise costing "&amp;AC11&amp;" was returned to suppliers for full credit on account.")</f>
        <v>#VALUE!</v>
      </c>
      <c r="BA11" s="9"/>
      <c r="BB11" s="9"/>
      <c r="BC11" s="9"/>
      <c r="BD11" s="9"/>
      <c r="BE11" s="9"/>
      <c r="BF11" s="9"/>
      <c r="BX11" s="35" t="e">
        <f>BX4/3</f>
        <v>#VALUE!</v>
      </c>
      <c r="BY11" s="34" t="e">
        <f>TEXT(BX11, "$#,###,###")</f>
        <v>#VALUE!</v>
      </c>
      <c r="BZ11" s="34" t="e">
        <f>IF($N$29=5,1,0)</f>
        <v>#VALUE!</v>
      </c>
      <c r="CA11" s="36" t="e">
        <f>CONCATENATE(Identification!$B$1&amp;" purchased an annual insurance policy on October 1 for "&amp;BY11&amp;".  On October 1, the policy was initially recorded as insurance expense.")</f>
        <v>#VALUE!</v>
      </c>
      <c r="CW11" s="37" t="e">
        <f>80000*CZ11</f>
        <v>#VALUE!</v>
      </c>
      <c r="CX11" s="35">
        <v>35000</v>
      </c>
      <c r="CY11" s="34" t="str">
        <f>TEXT(CX11, "$#,###,###")</f>
        <v>$35,000</v>
      </c>
      <c r="CZ11" s="34" t="e">
        <f>IF($N$29=5,1,0)</f>
        <v>#VALUE!</v>
      </c>
      <c r="DA11" s="36" t="str">
        <f>CONCATENATE("The company began the year with $40,000 of supplies inventory, purchased an additional $75,000 (which was recored as Supplies), and ended the year with "&amp;CY11&amp;".")</f>
        <v>The company began the year with $40,000 of supplies inventory, purchased an additional $75,000 (which was recored as Supplies), and ended the year with $35,000.</v>
      </c>
    </row>
    <row r="12" spans="1:109" s="34" customFormat="1" ht="24" customHeight="1">
      <c r="A12" s="16" t="s">
        <v>7</v>
      </c>
      <c r="B12" s="16"/>
      <c r="C12" s="16"/>
      <c r="D12" s="16"/>
      <c r="E12" s="16"/>
      <c r="F12" s="17" t="s">
        <v>6</v>
      </c>
      <c r="K12" s="38" t="e">
        <f>AD2</f>
        <v>#VALUE!</v>
      </c>
      <c r="M12" s="39"/>
      <c r="P12" s="36"/>
      <c r="S12" s="40" t="e">
        <f>K12</f>
        <v>#VALUE!</v>
      </c>
      <c r="T12" s="38" t="e">
        <f>S12*L2</f>
        <v>#VALUE!</v>
      </c>
      <c r="AB12" s="39"/>
      <c r="AE12" s="36"/>
      <c r="AY12" s="38" t="e">
        <f>BA12*BD12</f>
        <v>#VALUE!</v>
      </c>
      <c r="AZ12" s="37" t="e">
        <f>BA12*BB12</f>
        <v>#VALUE!</v>
      </c>
      <c r="BA12" s="34" t="e">
        <f>IF($N$29&lt;3,1,0)</f>
        <v>#VALUE!</v>
      </c>
      <c r="BB12" s="35" t="e">
        <f>ROUND(V34/2.5,0)</f>
        <v>#VALUE!</v>
      </c>
      <c r="BC12" s="34" t="e">
        <f>TEXT(BB12, "$#,###,###")</f>
        <v>#VALUE!</v>
      </c>
      <c r="BD12" s="38" t="e">
        <f>BB12</f>
        <v>#VALUE!</v>
      </c>
      <c r="BE12" s="36" t="e">
        <f>CONCATENATE("Selected inventory was found to have minor defects for which suppliers granted price reductions of "&amp;BC12&amp;".")</f>
        <v>#VALUE!</v>
      </c>
      <c r="BF12" s="34" t="e">
        <f>IF(BA12=1,BE12,IF(BA14=1,BE14,IF(BA21=1,BE21,IF(BA29=1,BE29,IF(BA30=1,BE30,IF(BA31=1,BE31,""))))))</f>
        <v>#VALUE!</v>
      </c>
      <c r="BX12" s="39"/>
      <c r="CX12" s="39"/>
    </row>
    <row r="13" spans="1:109" s="34" customFormat="1" ht="24" customHeight="1">
      <c r="A13" s="19" t="s">
        <v>0</v>
      </c>
      <c r="B13" s="19" t="s">
        <v>1</v>
      </c>
      <c r="C13" s="19"/>
      <c r="D13" s="19" t="s">
        <v>2</v>
      </c>
      <c r="E13" s="19"/>
      <c r="F13" s="19" t="s">
        <v>3</v>
      </c>
      <c r="K13" s="38" t="e">
        <f>AD4</f>
        <v>#VALUE!</v>
      </c>
      <c r="M13" s="39"/>
      <c r="P13" s="36"/>
      <c r="S13" s="38" t="e">
        <f t="shared" ref="S13:S17" si="5">K13</f>
        <v>#VALUE!</v>
      </c>
      <c r="T13" s="38" t="e">
        <f>S13*L4</f>
        <v>#VALUE!</v>
      </c>
      <c r="AB13" s="39"/>
      <c r="AE13" s="36"/>
      <c r="BB13" s="39"/>
      <c r="BE13" s="36"/>
      <c r="BX13" s="39"/>
      <c r="CX13" s="39"/>
    </row>
    <row r="14" spans="1:109" s="34" customFormat="1" ht="24" customHeight="1">
      <c r="A14" s="20" t="s">
        <v>6</v>
      </c>
      <c r="B14" s="27"/>
      <c r="C14" s="21" t="e">
        <f>IF($I$16=1,$K$5,"")</f>
        <v>#VALUE!</v>
      </c>
      <c r="D14" s="32">
        <v>0</v>
      </c>
      <c r="E14" s="21" t="str">
        <f>IF(L15=4,#REF!,"")</f>
        <v/>
      </c>
      <c r="F14" s="22"/>
      <c r="H14" s="18">
        <f>IF(B14="Accounts Payable",1,0)</f>
        <v>0</v>
      </c>
      <c r="I14" s="18" t="e">
        <f>IF(D14=T18,1,0)</f>
        <v>#VALUE!</v>
      </c>
      <c r="K14" s="38" t="e">
        <f>AD11</f>
        <v>#VALUE!</v>
      </c>
      <c r="M14" s="39"/>
      <c r="P14" s="36"/>
      <c r="S14" s="38" t="e">
        <f t="shared" si="5"/>
        <v>#VALUE!</v>
      </c>
      <c r="T14" s="38" t="e">
        <f>S14*L11</f>
        <v>#VALUE!</v>
      </c>
      <c r="AB14" s="39"/>
      <c r="AE14" s="36"/>
      <c r="AW14" s="34">
        <v>0</v>
      </c>
      <c r="AY14" s="38" t="e">
        <f>BA14*BD14</f>
        <v>#VALUE!</v>
      </c>
      <c r="AZ14" s="37" t="e">
        <f>BA14*BB14</f>
        <v>#VALUE!</v>
      </c>
      <c r="BA14" s="34" t="e">
        <f>IF($N$29=4,1,IF($N$29=3,1,0))</f>
        <v>#VALUE!</v>
      </c>
      <c r="BB14" s="35" t="e">
        <f>ROUND(V35/20,0)</f>
        <v>#VALUE!</v>
      </c>
      <c r="BC14" s="34" t="e">
        <f>TEXT(BB14, "$#,###,###")</f>
        <v>#VALUE!</v>
      </c>
      <c r="BD14" s="38" t="e">
        <f>BB14</f>
        <v>#VALUE!</v>
      </c>
      <c r="BE14" s="36" t="e">
        <f>CONCATENATE("Selected inventory was found to have minor defects for which suppliers granted price reductions of "&amp;BC14&amp;".")</f>
        <v>#VALUE!</v>
      </c>
      <c r="BX14" s="39"/>
      <c r="CX14" s="39"/>
    </row>
    <row r="15" spans="1:109" s="34" customFormat="1" ht="24" customHeight="1">
      <c r="A15" s="23"/>
      <c r="B15" s="28"/>
      <c r="C15" s="21" t="e">
        <f>C14</f>
        <v>#VALUE!</v>
      </c>
      <c r="D15" s="24"/>
      <c r="E15" s="21" t="str">
        <f>IF(L15=4,#REF!,"")</f>
        <v/>
      </c>
      <c r="F15" s="42">
        <f>D14</f>
        <v>0</v>
      </c>
      <c r="H15" s="18">
        <f>IF(B15="Purchase Returns &amp; Allowances",1,0)</f>
        <v>0</v>
      </c>
      <c r="K15" s="38" t="e">
        <f>AD18</f>
        <v>#VALUE!</v>
      </c>
      <c r="M15" s="39"/>
      <c r="P15" s="36"/>
      <c r="S15" s="38" t="e">
        <f t="shared" si="5"/>
        <v>#VALUE!</v>
      </c>
      <c r="T15" s="38" t="e">
        <f>S15*L18</f>
        <v>#VALUE!</v>
      </c>
      <c r="AB15" s="39"/>
      <c r="AE15" s="36"/>
      <c r="AW15" s="37" t="e">
        <f>BB12</f>
        <v>#VALUE!</v>
      </c>
      <c r="BB15" s="39"/>
      <c r="BE15" s="36"/>
      <c r="BX15" s="39"/>
      <c r="CX15" s="39"/>
    </row>
    <row r="16" spans="1:109" s="34" customFormat="1" ht="24" customHeight="1">
      <c r="A16" s="23"/>
      <c r="B16" s="25" t="s">
        <v>36</v>
      </c>
      <c r="C16" s="25"/>
      <c r="D16" s="26"/>
      <c r="E16" s="26"/>
      <c r="F16" s="26"/>
      <c r="I16" s="34" t="e">
        <f>H14*H15*I14</f>
        <v>#VALUE!</v>
      </c>
      <c r="K16" s="38" t="e">
        <f t="shared" ref="K16:K17" si="6">AD19</f>
        <v>#VALUE!</v>
      </c>
      <c r="M16" s="39"/>
      <c r="P16" s="36"/>
      <c r="S16" s="38" t="e">
        <f t="shared" si="5"/>
        <v>#VALUE!</v>
      </c>
      <c r="T16" s="38" t="e">
        <f>S16*L19</f>
        <v>#VALUE!</v>
      </c>
      <c r="AB16" s="39"/>
      <c r="AE16" s="36"/>
      <c r="AW16" s="37" t="e">
        <f>BB14</f>
        <v>#VALUE!</v>
      </c>
      <c r="BB16" s="39"/>
      <c r="BE16" s="36"/>
      <c r="BX16" s="39"/>
      <c r="CX16" s="39"/>
    </row>
    <row r="17" spans="1:108" s="34" customFormat="1" ht="24" customHeight="1">
      <c r="A17" s="15"/>
      <c r="B17" s="48"/>
      <c r="C17" s="48"/>
      <c r="D17" s="48"/>
      <c r="E17" s="48"/>
      <c r="F17" s="48"/>
      <c r="K17" s="38" t="e">
        <f t="shared" si="6"/>
        <v>#VALUE!</v>
      </c>
      <c r="M17" s="39"/>
      <c r="P17" s="36"/>
      <c r="S17" s="38" t="e">
        <f t="shared" si="5"/>
        <v>#VALUE!</v>
      </c>
      <c r="T17" s="38" t="e">
        <f>S17*L20</f>
        <v>#VALUE!</v>
      </c>
      <c r="AB17" s="39"/>
      <c r="AE17" s="36"/>
      <c r="AW17" s="37" t="e">
        <f>BB21</f>
        <v>#VALUE!</v>
      </c>
      <c r="BB17" s="39"/>
      <c r="BE17" s="36"/>
      <c r="BX17" s="39"/>
      <c r="CX17" s="39"/>
    </row>
    <row r="18" spans="1:108" s="34" customFormat="1" ht="74.25" customHeight="1">
      <c r="A18" s="48" t="s">
        <v>15</v>
      </c>
      <c r="B18" s="48" t="e">
        <f>BF12</f>
        <v>#VALUE!</v>
      </c>
      <c r="C18" s="48"/>
      <c r="K18" s="34" t="s">
        <v>23</v>
      </c>
      <c r="L18" s="34" t="e">
        <f>IF($N$29=6,1,0)</f>
        <v>#VALUE!</v>
      </c>
      <c r="M18" s="35" t="e">
        <f>ROUND(Z34,0)</f>
        <v>#VALUE!</v>
      </c>
      <c r="P18" s="36" t="e">
        <f>CONCATENATE(Identification!$B$1&amp;" Company purchased athletic shoes for "&amp;Z34&amp;" on account.")</f>
        <v>#VALUE!</v>
      </c>
      <c r="T18" s="38" t="e">
        <f>SUM(T11:T17)</f>
        <v>#VALUE!</v>
      </c>
      <c r="Z18" s="37" t="e">
        <f>AA18*AB18</f>
        <v>#VALUE!</v>
      </c>
      <c r="AA18" s="34" t="e">
        <f>IF($N$29=6,1,0)</f>
        <v>#VALUE!</v>
      </c>
      <c r="AB18" s="35" t="e">
        <f>ROUND($T$10/18,0)</f>
        <v>#VALUE!</v>
      </c>
      <c r="AC18" s="34" t="e">
        <f>TEXT(AB18, "$#,###,###")</f>
        <v>#VALUE!</v>
      </c>
      <c r="AD18" s="38" t="e">
        <f t="shared" ref="AD18:AD20" si="7">AB18*1</f>
        <v>#VALUE!</v>
      </c>
      <c r="AE18" s="36" t="e">
        <f>CONCATENATE("During the current year merchandise costing "&amp;AC18&amp;" was returned to suppliers for full credit on account.")</f>
        <v>#VALUE!</v>
      </c>
      <c r="AW18" s="37" t="e">
        <f>BB29</f>
        <v>#VALUE!</v>
      </c>
      <c r="BB18" s="39"/>
      <c r="BE18" s="36"/>
      <c r="BX18" s="35" t="e">
        <f>BX11*2.2</f>
        <v>#VALUE!</v>
      </c>
      <c r="BY18" s="34" t="e">
        <f>TEXT(BX18, "$#,###,###")</f>
        <v>#VALUE!</v>
      </c>
      <c r="BZ18" s="34" t="e">
        <f>IF($N$29=6,1,0)</f>
        <v>#VALUE!</v>
      </c>
      <c r="CA18" s="36" t="e">
        <f>CONCATENATE(Identification!$B$1&amp;" purchased an annual insurance policy on October 1 for "&amp;BY18&amp;".  On October 1, the policy was initially recorded as prepaid insurance.")</f>
        <v>#VALUE!</v>
      </c>
      <c r="CW18" s="37" t="e">
        <f>75000*CZ18</f>
        <v>#VALUE!</v>
      </c>
      <c r="CX18" s="35">
        <v>40000</v>
      </c>
      <c r="CY18" s="34" t="str">
        <f>TEXT(CX18, "$#,###,###")</f>
        <v>$40,000</v>
      </c>
      <c r="CZ18" s="34" t="e">
        <f>IF($N$29=6,1,0)</f>
        <v>#VALUE!</v>
      </c>
      <c r="DA18" s="36" t="str">
        <f>CONCATENATE("The company began the year with $40,000 of supplies inventory, purchased an additional $75,000 (which was recored as Supplies), and ended the year with "&amp;CY18&amp;".")</f>
        <v>The company began the year with $40,000 of supplies inventory, purchased an additional $75,000 (which was recored as Supplies), and ended the year with $40,000.</v>
      </c>
    </row>
    <row r="19" spans="1:108" s="34" customFormat="1" ht="24" customHeight="1">
      <c r="A19" s="16" t="s">
        <v>7</v>
      </c>
      <c r="B19" s="16"/>
      <c r="C19" s="16"/>
      <c r="D19" s="16"/>
      <c r="E19" s="16"/>
      <c r="F19" s="17" t="s">
        <v>6</v>
      </c>
      <c r="K19" s="34" t="s">
        <v>24</v>
      </c>
      <c r="L19" s="34" t="e">
        <f>IF($N$29=7,1,0)</f>
        <v>#VALUE!</v>
      </c>
      <c r="M19" s="35" t="e">
        <f>ROUND(Z35,0)</f>
        <v>#VALUE!</v>
      </c>
      <c r="P19" s="36" t="e">
        <f>CONCATENATE(Identification!$B$1&amp;" Company purchased refrigerators and stoves for "&amp;Z35&amp;" on account.")</f>
        <v>#VALUE!</v>
      </c>
      <c r="Z19" s="37" t="e">
        <f>AA19*AB19</f>
        <v>#VALUE!</v>
      </c>
      <c r="AA19" s="34" t="e">
        <f>IF($N$29=7,1,0)</f>
        <v>#VALUE!</v>
      </c>
      <c r="AB19" s="35" t="e">
        <f>ROUND($T$10/5,0)</f>
        <v>#VALUE!</v>
      </c>
      <c r="AC19" s="34" t="e">
        <f>TEXT(AB19, "$#,###,###")</f>
        <v>#VALUE!</v>
      </c>
      <c r="AD19" s="38" t="e">
        <f t="shared" si="7"/>
        <v>#VALUE!</v>
      </c>
      <c r="AE19" s="36" t="e">
        <f>CONCATENATE("During the current year merchandise costing "&amp;AC19&amp;" was returned to suppliers for full credit on account.")</f>
        <v>#VALUE!</v>
      </c>
      <c r="AW19" s="37" t="e">
        <f>BB30</f>
        <v>#VALUE!</v>
      </c>
      <c r="BB19" s="39"/>
      <c r="BE19" s="36"/>
      <c r="BX19" s="43" t="e">
        <f>BX18/2</f>
        <v>#VALUE!</v>
      </c>
      <c r="BY19" s="34" t="e">
        <f>TEXT(BX19, "$#,###,###")</f>
        <v>#VALUE!</v>
      </c>
      <c r="BZ19" s="34" t="e">
        <f>IF($N$29=7,1,0)</f>
        <v>#VALUE!</v>
      </c>
      <c r="CA19" s="36" t="e">
        <f>CONCATENATE(Identification!$B$1&amp;" purchased an annual insurance policy on October 1 for "&amp;BY19&amp;".  On October 1, the policy was initially recorded as prepaid insurance.")</f>
        <v>#VALUE!</v>
      </c>
      <c r="CW19" s="37" t="e">
        <f>70000*CZ19</f>
        <v>#VALUE!</v>
      </c>
      <c r="CX19" s="35">
        <v>45000</v>
      </c>
      <c r="CY19" s="34" t="str">
        <f>TEXT(CX19, "$#,###,###")</f>
        <v>$45,000</v>
      </c>
      <c r="CZ19" s="34" t="e">
        <f>IF($N$29=7,1,0)</f>
        <v>#VALUE!</v>
      </c>
      <c r="DA19" s="36" t="str">
        <f>CONCATENATE("The company began the year with $40,000 of supplies inventory, purchased an additional $75,000 (which was recored as Supplies), and ended the year with "&amp;CY19&amp;".")</f>
        <v>The company began the year with $40,000 of supplies inventory, purchased an additional $75,000 (which was recored as Supplies), and ended the year with $45,000.</v>
      </c>
    </row>
    <row r="20" spans="1:108" s="34" customFormat="1" ht="24" customHeight="1">
      <c r="A20" s="19" t="s">
        <v>0</v>
      </c>
      <c r="B20" s="19" t="s">
        <v>1</v>
      </c>
      <c r="C20" s="19"/>
      <c r="D20" s="19" t="s">
        <v>2</v>
      </c>
      <c r="E20" s="19"/>
      <c r="F20" s="19" t="s">
        <v>3</v>
      </c>
      <c r="K20" s="34" t="s">
        <v>25</v>
      </c>
      <c r="L20" s="34" t="e">
        <f>IF($N$29&gt;7,1,0)</f>
        <v>#VALUE!</v>
      </c>
      <c r="M20" s="35" t="e">
        <f>ROUND(Z36,0)</f>
        <v>#VALUE!</v>
      </c>
      <c r="P20" s="36" t="e">
        <f>CONCATENATE(Identification!$B$1&amp;" Company purchased paintings for "&amp;Z36&amp;" on account.")</f>
        <v>#VALUE!</v>
      </c>
      <c r="Z20" s="37" t="e">
        <f>AA20*AB20</f>
        <v>#VALUE!</v>
      </c>
      <c r="AA20" s="34" t="e">
        <f>IF($N$29&gt;7,1,0)</f>
        <v>#VALUE!</v>
      </c>
      <c r="AB20" s="35" t="e">
        <f>ROUND($T$10/11,0)</f>
        <v>#VALUE!</v>
      </c>
      <c r="AC20" s="34" t="e">
        <f>TEXT(AB20, "$#,###,###")</f>
        <v>#VALUE!</v>
      </c>
      <c r="AD20" s="38" t="e">
        <f t="shared" si="7"/>
        <v>#VALUE!</v>
      </c>
      <c r="AE20" s="36" t="e">
        <f>CONCATENATE("During the current year merchandise costing "&amp;AC20&amp;" was returned to suppliers for full credit on account.")</f>
        <v>#VALUE!</v>
      </c>
      <c r="AW20" s="37" t="e">
        <f>BB31</f>
        <v>#VALUE!</v>
      </c>
      <c r="BB20" s="39"/>
      <c r="BE20" s="36"/>
      <c r="BX20" s="35" t="e">
        <f>BX18*1.6</f>
        <v>#VALUE!</v>
      </c>
      <c r="BY20" s="34" t="e">
        <f>TEXT(BX20, "$#,###,###")</f>
        <v>#VALUE!</v>
      </c>
      <c r="BZ20" s="34" t="e">
        <f>IF($N$29&gt;7,1,0)</f>
        <v>#VALUE!</v>
      </c>
      <c r="CA20" s="36" t="e">
        <f>CONCATENATE(Identification!$B$1&amp;" purchased an annual insurance policy on October 1 for "&amp;BY20&amp;".  On October 1, the policy was initially recorded as insurance expense.")</f>
        <v>#VALUE!</v>
      </c>
      <c r="CW20" s="37" t="e">
        <f>65000*CZ20</f>
        <v>#VALUE!</v>
      </c>
      <c r="CX20" s="35">
        <v>50000</v>
      </c>
      <c r="CY20" s="34" t="str">
        <f>TEXT(CX20, "$#,###,###")</f>
        <v>$50,000</v>
      </c>
      <c r="CZ20" s="34" t="e">
        <f>IF($N$29&gt;7,1,0)</f>
        <v>#VALUE!</v>
      </c>
      <c r="DA20" s="36" t="str">
        <f>CONCATENATE("The company began the year with $40,000 of supplies inventory, purchased an additional $75,000 (which was recored as Supplies), and ended the year with "&amp;CY20&amp;".")</f>
        <v>The company began the year with $40,000 of supplies inventory, purchased an additional $75,000 (which was recored as Supplies), and ended the year with $50,000.</v>
      </c>
    </row>
    <row r="21" spans="1:108" s="34" customFormat="1" ht="24" customHeight="1">
      <c r="A21" s="20" t="s">
        <v>6</v>
      </c>
      <c r="B21" s="27"/>
      <c r="C21" s="21" t="e">
        <f>IF($I$23=1,$K$5,"")</f>
        <v>#VALUE!</v>
      </c>
      <c r="D21" s="32">
        <v>0</v>
      </c>
      <c r="E21" s="21"/>
      <c r="F21" s="22"/>
      <c r="H21" s="18">
        <f>IF(B21="Accounts Payable",1,0)</f>
        <v>0</v>
      </c>
      <c r="I21" s="18" t="e">
        <f>IF(D21=AY32,1,0)</f>
        <v>#VALUE!</v>
      </c>
      <c r="K21" s="34">
        <v>0</v>
      </c>
      <c r="W21" s="34" t="e">
        <f>TEXT(X21, "$#,###,###")</f>
        <v>#VALUE!</v>
      </c>
      <c r="X21" s="44" t="e">
        <f>ROUND(Y21,0)</f>
        <v>#VALUE!</v>
      </c>
      <c r="Y21" s="37" t="e">
        <f>Z21/4.5</f>
        <v>#VALUE!</v>
      </c>
      <c r="Z21" s="37" t="e">
        <f>SUM(Z2:Z20)</f>
        <v>#VALUE!</v>
      </c>
      <c r="AE21" s="36" t="str">
        <f>CONCATENATE("During the current year merchandise costing "&amp;AC21&amp;" was returned to suppliers for full credit on account.")</f>
        <v>During the current year merchandise costing  was returned to suppliers for full credit on account.</v>
      </c>
      <c r="AY21" s="38" t="e">
        <f>BA21*BD21</f>
        <v>#VALUE!</v>
      </c>
      <c r="AZ21" s="37" t="e">
        <f>BA21*BB21</f>
        <v>#VALUE!</v>
      </c>
      <c r="BA21" s="34" t="e">
        <f>IF($N$29=5,1,0)</f>
        <v>#VALUE!</v>
      </c>
      <c r="BB21" s="35" t="e">
        <f>ROUND(V36/3,0)</f>
        <v>#VALUE!</v>
      </c>
      <c r="BC21" s="34" t="e">
        <f>TEXT(BB21, "$#,###,###")</f>
        <v>#VALUE!</v>
      </c>
      <c r="BD21" s="38" t="e">
        <f>BB21</f>
        <v>#VALUE!</v>
      </c>
      <c r="BE21" s="36" t="e">
        <f>CONCATENATE("Selected inventory was found to have minor defects for which suppliers granted price reductions of "&amp;BC21&amp;".")</f>
        <v>#VALUE!</v>
      </c>
      <c r="CW21" s="37" t="e">
        <f>SUM(CW2:CW20)</f>
        <v>#VALUE!</v>
      </c>
    </row>
    <row r="22" spans="1:108" s="34" customFormat="1" ht="24" customHeight="1">
      <c r="A22" s="23"/>
      <c r="B22" s="28"/>
      <c r="C22" s="21" t="e">
        <f>C21</f>
        <v>#VALUE!</v>
      </c>
      <c r="D22" s="24"/>
      <c r="E22" s="21"/>
      <c r="F22" s="42">
        <f>D21</f>
        <v>0</v>
      </c>
      <c r="H22" s="18">
        <f>IF(B22="Purchase Returns &amp; Allowances",1,0)</f>
        <v>0</v>
      </c>
      <c r="K22" s="38" t="e">
        <f>BD12</f>
        <v>#VALUE!</v>
      </c>
      <c r="W22" s="34" t="e">
        <f>TEXT(X22, "$#,###,###")</f>
        <v>#VALUE!</v>
      </c>
      <c r="X22" s="44" t="e">
        <f>ROUND(Y22,0)</f>
        <v>#VALUE!</v>
      </c>
      <c r="Y22" s="37" t="e">
        <f>Z22/4.5</f>
        <v>#VALUE!</v>
      </c>
      <c r="Z22" s="38" t="e">
        <f>Z21*0.4</f>
        <v>#VALUE!</v>
      </c>
      <c r="BB22" s="39"/>
      <c r="BE22" s="36"/>
      <c r="CX22" s="39"/>
    </row>
    <row r="23" spans="1:108" s="34" customFormat="1" ht="24" customHeight="1">
      <c r="A23" s="23"/>
      <c r="B23" s="25" t="s">
        <v>37</v>
      </c>
      <c r="C23" s="25"/>
      <c r="D23" s="26"/>
      <c r="E23" s="26"/>
      <c r="F23" s="26"/>
      <c r="I23" s="34" t="e">
        <f>H21*H22*I21</f>
        <v>#VALUE!</v>
      </c>
      <c r="K23" s="38" t="e">
        <f>BD14</f>
        <v>#VALUE!</v>
      </c>
      <c r="AB23" s="34">
        <v>0</v>
      </c>
      <c r="AC23" s="38">
        <f>ROUND(AB23,0)</f>
        <v>0</v>
      </c>
      <c r="BB23" s="39"/>
      <c r="BE23" s="36"/>
      <c r="CX23" s="39"/>
    </row>
    <row r="24" spans="1:108" s="34" customFormat="1" ht="60.75" customHeight="1">
      <c r="A24" s="48" t="s">
        <v>16</v>
      </c>
      <c r="B24" s="48" t="e">
        <f>CONCATENATE("Paid suppliers for gross purchases of "&amp;N27&amp;" on which the full discount was received.")</f>
        <v>#VALUE!</v>
      </c>
      <c r="C24" s="48"/>
      <c r="K24" s="38" t="e">
        <f>BD21</f>
        <v>#VALUE!</v>
      </c>
      <c r="AB24" s="38" t="e">
        <f>AB20/4.5</f>
        <v>#VALUE!</v>
      </c>
      <c r="AC24" s="38" t="e">
        <f>ROUND(AB24,0)</f>
        <v>#VALUE!</v>
      </c>
      <c r="BB24" s="39"/>
      <c r="BE24" s="36"/>
      <c r="CX24" s="39"/>
    </row>
    <row r="25" spans="1:108" s="34" customFormat="1" ht="24" customHeight="1">
      <c r="A25" s="16" t="s">
        <v>7</v>
      </c>
      <c r="B25" s="16"/>
      <c r="C25" s="16"/>
      <c r="D25" s="16"/>
      <c r="E25" s="16"/>
      <c r="F25" s="17" t="s">
        <v>6</v>
      </c>
      <c r="K25" s="38" t="e">
        <f>BD29</f>
        <v>#VALUE!</v>
      </c>
      <c r="AB25" s="38" t="e">
        <f>AB19/4.5</f>
        <v>#VALUE!</v>
      </c>
      <c r="AC25" s="38" t="e">
        <f t="shared" ref="AC25:AC30" si="8">ROUND(AB25,0)</f>
        <v>#VALUE!</v>
      </c>
      <c r="BB25" s="39"/>
      <c r="BE25" s="36"/>
      <c r="CX25" s="39"/>
    </row>
    <row r="26" spans="1:108" ht="24" customHeight="1">
      <c r="A26" s="19" t="s">
        <v>0</v>
      </c>
      <c r="B26" s="19" t="s">
        <v>1</v>
      </c>
      <c r="C26" s="19"/>
      <c r="D26" s="19" t="s">
        <v>2</v>
      </c>
      <c r="E26" s="19"/>
      <c r="F26" s="19" t="s">
        <v>3</v>
      </c>
      <c r="G26" s="34"/>
      <c r="H26" s="8"/>
      <c r="K26" s="33" t="e">
        <f>BD30</f>
        <v>#VALUE!</v>
      </c>
      <c r="AB26" s="45" t="e">
        <f>AB18/4.5</f>
        <v>#VALUE!</v>
      </c>
      <c r="AC26" s="38" t="e">
        <f t="shared" si="8"/>
        <v>#VALUE!</v>
      </c>
      <c r="BA26" s="34"/>
      <c r="BB26" s="39"/>
      <c r="BC26" s="34"/>
      <c r="BD26" s="34"/>
      <c r="BE26" s="36"/>
      <c r="BF26" s="34"/>
      <c r="CX26" s="39"/>
      <c r="CY26" s="34"/>
      <c r="CZ26" s="34"/>
      <c r="DA26" s="34"/>
      <c r="DB26" s="34"/>
      <c r="DC26" s="34"/>
      <c r="DD26" s="34"/>
    </row>
    <row r="27" spans="1:108" s="49" customFormat="1" ht="24" customHeight="1">
      <c r="A27" s="20" t="s">
        <v>6</v>
      </c>
      <c r="B27" s="27"/>
      <c r="C27" s="21" t="e">
        <f>IF($I$30=1,$K$5,"")</f>
        <v>#VALUE!</v>
      </c>
      <c r="D27" s="32">
        <v>0</v>
      </c>
      <c r="E27" s="21"/>
      <c r="F27" s="22"/>
      <c r="G27" s="34"/>
      <c r="H27" s="18">
        <f>IF(B27="Accounts Payable",1,0)</f>
        <v>0</v>
      </c>
      <c r="I27" s="18" t="e">
        <f>IF(D27=M27,1,0)</f>
        <v>#VALUE!</v>
      </c>
      <c r="K27" s="30" t="e">
        <f>BD31</f>
        <v>#VALUE!</v>
      </c>
      <c r="M27" s="54" t="e">
        <f>ROUND($T$10/1.2,0)</f>
        <v>#VALUE!</v>
      </c>
      <c r="N27" s="55" t="e">
        <f>TEXT(M27, "$#,###,###")</f>
        <v>#VALUE!</v>
      </c>
      <c r="AB27" s="46" t="e">
        <f>AB11/4.5</f>
        <v>#VALUE!</v>
      </c>
      <c r="AC27" s="38" t="e">
        <f t="shared" si="8"/>
        <v>#VALUE!</v>
      </c>
      <c r="BA27" s="34"/>
      <c r="BB27" s="39"/>
      <c r="BC27" s="34"/>
      <c r="BD27" s="34"/>
      <c r="BE27" s="36"/>
      <c r="BF27" s="34"/>
      <c r="CX27" s="35">
        <f>CX20*2.2</f>
        <v>110000.00000000001</v>
      </c>
      <c r="CY27" s="34" t="str">
        <f>TEXT(CX27, "$#,###,###")</f>
        <v>$110,000</v>
      </c>
      <c r="CZ27" s="34" t="e">
        <f>IF($N$29=6,1,0)</f>
        <v>#VALUE!</v>
      </c>
      <c r="DA27" s="36" t="str">
        <f>CONCATENATE(Identification!$B$1&amp;" purchased an annual insurance policy on October 1 for "&amp;CY27&amp;".  On October 1, the policy was initially recorded as prepaid insurance.")</f>
        <v>Enter Name purchased an annual insurance policy on October 1 for $110,000.  On October 1, the policy was initially recorded as prepaid insurance.</v>
      </c>
      <c r="DB27" s="34"/>
      <c r="DC27" s="34"/>
      <c r="DD27" s="34"/>
    </row>
    <row r="28" spans="1:108" s="49" customFormat="1" ht="24" customHeight="1">
      <c r="A28" s="20"/>
      <c r="B28" s="28"/>
      <c r="C28" s="21" t="e">
        <f>C27</f>
        <v>#VALUE!</v>
      </c>
      <c r="D28" s="24"/>
      <c r="E28" s="21"/>
      <c r="F28" s="32">
        <v>0</v>
      </c>
      <c r="G28" s="34"/>
      <c r="H28" s="18">
        <f>IF(B28="Purchase Discounts",1,0)</f>
        <v>0</v>
      </c>
      <c r="I28" s="18" t="e">
        <f>IF(F28=M30,1,0)</f>
        <v>#VALUE!</v>
      </c>
      <c r="K28" s="30"/>
      <c r="M28" s="54"/>
      <c r="N28" s="55"/>
      <c r="AB28" s="46"/>
      <c r="AC28" s="38"/>
      <c r="BA28" s="34"/>
      <c r="BB28" s="39"/>
      <c r="BC28" s="34"/>
      <c r="BD28" s="34"/>
      <c r="BE28" s="36"/>
      <c r="BF28" s="34"/>
      <c r="CX28" s="35"/>
      <c r="CY28" s="34"/>
      <c r="CZ28" s="34"/>
      <c r="DA28" s="36"/>
      <c r="DB28" s="34"/>
      <c r="DC28" s="34"/>
      <c r="DD28" s="34"/>
    </row>
    <row r="29" spans="1:108" s="49" customFormat="1" ht="24" customHeight="1">
      <c r="A29" s="23"/>
      <c r="B29" s="28"/>
      <c r="C29" s="21" t="e">
        <f>C27</f>
        <v>#VALUE!</v>
      </c>
      <c r="D29" s="24"/>
      <c r="E29" s="21"/>
      <c r="F29" s="42">
        <f>D27-F28</f>
        <v>0</v>
      </c>
      <c r="G29" s="34"/>
      <c r="H29" s="18">
        <f>IF(B29="Cash",1,0)</f>
        <v>0</v>
      </c>
      <c r="I29" s="18"/>
      <c r="M29" s="56" t="e">
        <f>N27*H2</f>
        <v>#VALUE!</v>
      </c>
      <c r="N29" s="57" t="e">
        <f>Identification!C71</f>
        <v>#VALUE!</v>
      </c>
      <c r="O29" s="13" t="e">
        <f>Identification!D71*1.5</f>
        <v>#VALUE!</v>
      </c>
      <c r="P29" s="13" t="e">
        <f>Identification!E71*1.5</f>
        <v>#VALUE!</v>
      </c>
      <c r="Q29" s="13" t="e">
        <f>Identification!F71*1.5</f>
        <v>#VALUE!</v>
      </c>
      <c r="R29" s="13" t="e">
        <f>Identification!G71*1.5</f>
        <v>#VALUE!</v>
      </c>
      <c r="S29" s="13" t="e">
        <f>Identification!H71*1.5</f>
        <v>#VALUE!</v>
      </c>
      <c r="T29" s="13"/>
      <c r="U29" s="31" t="e">
        <f>N29*N30</f>
        <v>#VALUE!</v>
      </c>
      <c r="V29" s="31" t="e">
        <f t="shared" ref="V29:W29" si="9">O29*O30</f>
        <v>#VALUE!</v>
      </c>
      <c r="W29" s="31" t="e">
        <f t="shared" si="9"/>
        <v>#VALUE!</v>
      </c>
      <c r="X29" s="14" t="e">
        <f>TEXT(U29, "$#,###,###")</f>
        <v>#VALUE!</v>
      </c>
      <c r="Y29" s="14" t="e">
        <f t="shared" ref="Y29:Z36" si="10">TEXT(V29, "$#,###,###")</f>
        <v>#VALUE!</v>
      </c>
      <c r="Z29" s="14" t="e">
        <f t="shared" si="10"/>
        <v>#VALUE!</v>
      </c>
      <c r="AA29" s="14"/>
      <c r="AB29" s="30" t="e">
        <f>AB4/4.5</f>
        <v>#VALUE!</v>
      </c>
      <c r="AC29" s="38" t="e">
        <f t="shared" si="8"/>
        <v>#VALUE!</v>
      </c>
      <c r="AY29" s="38" t="e">
        <f>BA29*BD29</f>
        <v>#VALUE!</v>
      </c>
      <c r="AZ29" s="37" t="e">
        <f>BA29*BB29</f>
        <v>#VALUE!</v>
      </c>
      <c r="BA29" s="34" t="e">
        <f>IF($N$29=6,1,0)</f>
        <v>#VALUE!</v>
      </c>
      <c r="BB29" s="35" t="e">
        <f>ROUND(V34/8,0)</f>
        <v>#VALUE!</v>
      </c>
      <c r="BC29" s="34" t="e">
        <f>TEXT(BB29, "$#,###,###")</f>
        <v>#VALUE!</v>
      </c>
      <c r="BD29" s="38" t="e">
        <f>BB29</f>
        <v>#VALUE!</v>
      </c>
      <c r="BE29" s="36" t="e">
        <f>CONCATENATE("Selected inventory was found to have minor defects for which suppliers granted price reductions of "&amp;BC29&amp;".")</f>
        <v>#VALUE!</v>
      </c>
      <c r="BF29" s="34"/>
      <c r="CX29" s="43">
        <f>CX27/2</f>
        <v>55000.000000000007</v>
      </c>
      <c r="CY29" s="34" t="str">
        <f>TEXT(CX29, "$#,###,###")</f>
        <v>$55,000</v>
      </c>
      <c r="CZ29" s="34" t="e">
        <f>IF($N$29=7,1,0)</f>
        <v>#VALUE!</v>
      </c>
      <c r="DA29" s="36" t="str">
        <f>CONCATENATE(Identification!$B$1&amp;" purchased an annual insurance policy on October 1 for "&amp;CY29&amp;".  On October 1, the policy was initially recorded as prepaid insurance.")</f>
        <v>Enter Name purchased an annual insurance policy on October 1 for $55,000.  On October 1, the policy was initially recorded as prepaid insurance.</v>
      </c>
      <c r="DB29" s="34"/>
      <c r="DC29" s="34"/>
      <c r="DD29" s="34"/>
    </row>
    <row r="30" spans="1:108" s="49" customFormat="1" ht="34.5" customHeight="1">
      <c r="A30" s="23"/>
      <c r="B30" s="25" t="e">
        <f>CONCATENATE("Paid outstanding payables of "&amp;N27&amp;" on which a discount of $"&amp;M31&amp;" was received ("&amp;I3&amp;"% X "&amp;N27&amp;"). ")</f>
        <v>#VALUE!</v>
      </c>
      <c r="C30" s="25"/>
      <c r="D30" s="26"/>
      <c r="E30" s="26"/>
      <c r="F30" s="26"/>
      <c r="G30" s="34"/>
      <c r="H30" s="34"/>
      <c r="I30" s="34" t="e">
        <f>H27*H29*I27*H28*I28</f>
        <v>#VALUE!</v>
      </c>
      <c r="M30" s="58" t="e">
        <f>ROUND($M$29,0)</f>
        <v>#VALUE!</v>
      </c>
      <c r="N30" s="57" t="e">
        <f>Identification!C72</f>
        <v>#VALUE!</v>
      </c>
      <c r="O30" s="13" t="e">
        <f>Identification!D72*1.5</f>
        <v>#VALUE!</v>
      </c>
      <c r="P30" s="13" t="e">
        <f>Identification!E72*1.5</f>
        <v>#VALUE!</v>
      </c>
      <c r="Q30" s="13" t="e">
        <f>Identification!F72*1.5</f>
        <v>#VALUE!</v>
      </c>
      <c r="R30" s="13" t="e">
        <f>Identification!G72*1.5</f>
        <v>#VALUE!</v>
      </c>
      <c r="S30" s="13" t="e">
        <f>Identification!H72*1.5</f>
        <v>#VALUE!</v>
      </c>
      <c r="T30" s="13"/>
      <c r="U30" s="31" t="e">
        <f t="shared" ref="U30:U36" si="11">N30*N31</f>
        <v>#VALUE!</v>
      </c>
      <c r="V30" s="31" t="e">
        <f t="shared" ref="V30:V36" si="12">O30*O31</f>
        <v>#VALUE!</v>
      </c>
      <c r="W30" s="31" t="e">
        <f t="shared" ref="W30:W36" si="13">P30*P31</f>
        <v>#VALUE!</v>
      </c>
      <c r="X30" s="14" t="e">
        <f t="shared" ref="X30:X36" si="14">TEXT(U30, "$#,###,###")</f>
        <v>#VALUE!</v>
      </c>
      <c r="Y30" s="14" t="e">
        <f t="shared" si="10"/>
        <v>#VALUE!</v>
      </c>
      <c r="Z30" s="14" t="e">
        <f t="shared" si="10"/>
        <v>#VALUE!</v>
      </c>
      <c r="AA30" s="14"/>
      <c r="AB30" s="30" t="e">
        <f>AB2/4.65</f>
        <v>#VALUE!</v>
      </c>
      <c r="AC30" s="38" t="e">
        <f t="shared" si="8"/>
        <v>#VALUE!</v>
      </c>
      <c r="AY30" s="38" t="e">
        <f>BA30*BD30</f>
        <v>#VALUE!</v>
      </c>
      <c r="AZ30" s="37" t="e">
        <f>BA30*BB30</f>
        <v>#VALUE!</v>
      </c>
      <c r="BA30" s="34" t="e">
        <f>IF($N$29=7,1,0)</f>
        <v>#VALUE!</v>
      </c>
      <c r="BB30" s="35" t="e">
        <f>ROUND(V35/60,0)</f>
        <v>#VALUE!</v>
      </c>
      <c r="BC30" s="34" t="e">
        <f>TEXT(BB30, "$#,###,###")</f>
        <v>#VALUE!</v>
      </c>
      <c r="BD30" s="38" t="e">
        <f>BB30</f>
        <v>#VALUE!</v>
      </c>
      <c r="BE30" s="36" t="e">
        <f>CONCATENATE("Selected inventory was found to have minor defects for which suppliers granted price reductions of "&amp;BC30&amp;".")</f>
        <v>#VALUE!</v>
      </c>
      <c r="BF30" s="34"/>
      <c r="CX30" s="35">
        <f>CX27*1.6</f>
        <v>176000.00000000003</v>
      </c>
      <c r="CY30" s="34" t="str">
        <f>TEXT(CX30, "$#,###,###")</f>
        <v>$176,000</v>
      </c>
      <c r="CZ30" s="34" t="e">
        <f>IF($N$29&gt;7,1,0)</f>
        <v>#VALUE!</v>
      </c>
      <c r="DA30" s="36" t="str">
        <f>CONCATENATE(Identification!$B$1&amp;" purchased an annual insurance policy on October 1 for "&amp;CY30&amp;".  On October 1, the policy was initially recorded as insurance expense.")</f>
        <v>Enter Name purchased an annual insurance policy on October 1 for $176,000.  On October 1, the policy was initially recorded as insurance expense.</v>
      </c>
      <c r="DB30" s="34"/>
      <c r="DC30" s="34"/>
      <c r="DD30" s="34"/>
    </row>
    <row r="31" spans="1:108" s="49" customFormat="1" ht="18" customHeight="1">
      <c r="A31" s="8"/>
      <c r="B31" s="8"/>
      <c r="C31" s="8"/>
      <c r="D31" s="12"/>
      <c r="E31" s="8"/>
      <c r="F31" s="11"/>
      <c r="G31" s="8"/>
      <c r="H31" s="8"/>
      <c r="M31" s="55" t="e">
        <f>TEXT(M30, "#,###,###")</f>
        <v>#VALUE!</v>
      </c>
      <c r="N31" s="57" t="e">
        <f>Identification!C73</f>
        <v>#VALUE!</v>
      </c>
      <c r="O31" s="13" t="e">
        <f>Identification!D73*1.5</f>
        <v>#VALUE!</v>
      </c>
      <c r="P31" s="13" t="e">
        <f>Identification!E73*1.5</f>
        <v>#VALUE!</v>
      </c>
      <c r="Q31" s="13" t="e">
        <f>Identification!F73*1.5</f>
        <v>#VALUE!</v>
      </c>
      <c r="R31" s="13" t="e">
        <f>Identification!G73*1.5</f>
        <v>#VALUE!</v>
      </c>
      <c r="S31" s="13" t="e">
        <f>Identification!H73*1.5</f>
        <v>#VALUE!</v>
      </c>
      <c r="T31" s="13"/>
      <c r="U31" s="31" t="e">
        <f t="shared" si="11"/>
        <v>#VALUE!</v>
      </c>
      <c r="V31" s="31" t="e">
        <f t="shared" si="12"/>
        <v>#VALUE!</v>
      </c>
      <c r="W31" s="31" t="e">
        <f t="shared" si="13"/>
        <v>#VALUE!</v>
      </c>
      <c r="X31" s="14" t="e">
        <f t="shared" si="14"/>
        <v>#VALUE!</v>
      </c>
      <c r="Y31" s="14" t="e">
        <f t="shared" si="10"/>
        <v>#VALUE!</v>
      </c>
      <c r="Z31" s="14" t="e">
        <f t="shared" si="10"/>
        <v>#VALUE!</v>
      </c>
      <c r="AA31" s="14"/>
      <c r="AY31" s="38" t="e">
        <f>BA31*BD31</f>
        <v>#VALUE!</v>
      </c>
      <c r="AZ31" s="37" t="e">
        <f>BA31*BB31</f>
        <v>#VALUE!</v>
      </c>
      <c r="BA31" s="34" t="e">
        <f>IF($N$29&gt;7,1,0)</f>
        <v>#VALUE!</v>
      </c>
      <c r="BB31" s="35" t="e">
        <f>ROUND(V36/4,0)</f>
        <v>#VALUE!</v>
      </c>
      <c r="BC31" s="34" t="e">
        <f>TEXT(BB31, "$#,###,###")</f>
        <v>#VALUE!</v>
      </c>
      <c r="BD31" s="38" t="e">
        <f>BB31</f>
        <v>#VALUE!</v>
      </c>
      <c r="BE31" s="36" t="e">
        <f>CONCATENATE("Selected inventory was found to have minor defects for which suppliers granted price reductions of "&amp;BC31&amp;".")</f>
        <v>#VALUE!</v>
      </c>
      <c r="BF31" s="34"/>
      <c r="CX31" s="34"/>
      <c r="CY31" s="34"/>
      <c r="CZ31" s="34"/>
      <c r="DA31" s="34"/>
      <c r="DB31" s="34"/>
      <c r="DC31" s="34"/>
      <c r="DD31" s="34"/>
    </row>
    <row r="32" spans="1:108" s="49" customFormat="1" ht="72.75" customHeight="1">
      <c r="A32" s="48" t="s">
        <v>17</v>
      </c>
      <c r="B32" s="48" t="e">
        <f>CONCATENATE("Paid suppliers for gross purchases of "&amp;M32&amp;" on which the discount was missed.")</f>
        <v>#VALUE!</v>
      </c>
      <c r="C32" s="48"/>
      <c r="D32" s="34"/>
      <c r="E32" s="34"/>
      <c r="F32" s="34"/>
      <c r="G32" s="8"/>
      <c r="H32" s="8"/>
      <c r="K32" s="30" t="e">
        <f>ROUND((T10-M27)/4,0)</f>
        <v>#VALUE!</v>
      </c>
      <c r="M32" s="55" t="e">
        <f>TEXT(K32, "$#,###,###")</f>
        <v>#VALUE!</v>
      </c>
      <c r="N32" s="13" t="e">
        <f>Identification!C74</f>
        <v>#VALUE!</v>
      </c>
      <c r="O32" s="13" t="e">
        <f>Identification!D74*1.5</f>
        <v>#VALUE!</v>
      </c>
      <c r="P32" s="13" t="e">
        <f>Identification!E74*1.5</f>
        <v>#VALUE!</v>
      </c>
      <c r="Q32" s="13" t="e">
        <f>Identification!F74*1.5</f>
        <v>#VALUE!</v>
      </c>
      <c r="R32" s="13" t="e">
        <f>Identification!G74*1.5</f>
        <v>#VALUE!</v>
      </c>
      <c r="S32" s="13" t="e">
        <f>Identification!H74*1.5</f>
        <v>#VALUE!</v>
      </c>
      <c r="T32" s="13"/>
      <c r="U32" s="31"/>
      <c r="V32" s="31"/>
      <c r="W32" s="31"/>
      <c r="X32" s="14" t="str">
        <f t="shared" si="14"/>
        <v>$</v>
      </c>
      <c r="Y32" s="14" t="str">
        <f t="shared" si="10"/>
        <v>$</v>
      </c>
      <c r="Z32" s="14" t="str">
        <f t="shared" si="10"/>
        <v>$</v>
      </c>
      <c r="AA32" s="14"/>
      <c r="AY32" s="14" t="e">
        <f>SUM(AY12:AY31)</f>
        <v>#VALUE!</v>
      </c>
      <c r="AZ32" s="14" t="e">
        <f>SUM(AZ12:AZ31)</f>
        <v>#VALUE!</v>
      </c>
      <c r="BA32" s="34"/>
      <c r="BB32" s="34"/>
      <c r="BC32" s="34"/>
      <c r="BD32" s="34"/>
      <c r="BE32" s="34"/>
      <c r="BF32" s="34"/>
    </row>
    <row r="33" spans="1:27" s="49" customFormat="1" ht="24" customHeight="1">
      <c r="A33" s="16" t="s">
        <v>7</v>
      </c>
      <c r="B33" s="16"/>
      <c r="C33" s="16"/>
      <c r="D33" s="16"/>
      <c r="E33" s="16"/>
      <c r="F33" s="17" t="s">
        <v>6</v>
      </c>
      <c r="G33" s="8"/>
      <c r="H33" s="8"/>
      <c r="N33" s="13"/>
      <c r="U33" s="31"/>
      <c r="V33" s="31"/>
      <c r="W33" s="31"/>
      <c r="X33" s="14" t="str">
        <f t="shared" si="14"/>
        <v>$</v>
      </c>
      <c r="Y33" s="14" t="str">
        <f t="shared" si="10"/>
        <v>$</v>
      </c>
      <c r="Z33" s="14" t="str">
        <f t="shared" si="10"/>
        <v>$</v>
      </c>
      <c r="AA33" s="14"/>
    </row>
    <row r="34" spans="1:27" s="49" customFormat="1" ht="24" customHeight="1">
      <c r="A34" s="19" t="s">
        <v>0</v>
      </c>
      <c r="B34" s="19" t="s">
        <v>1</v>
      </c>
      <c r="C34" s="19"/>
      <c r="D34" s="19" t="s">
        <v>2</v>
      </c>
      <c r="E34" s="19"/>
      <c r="F34" s="19" t="s">
        <v>3</v>
      </c>
      <c r="G34" s="8"/>
      <c r="H34" s="8"/>
      <c r="N34" s="13" t="e">
        <f>N29*3</f>
        <v>#VALUE!</v>
      </c>
      <c r="O34" s="13" t="e">
        <f t="shared" ref="O34:S34" si="15">O29*3</f>
        <v>#VALUE!</v>
      </c>
      <c r="P34" s="13" t="e">
        <f t="shared" si="15"/>
        <v>#VALUE!</v>
      </c>
      <c r="Q34" s="13" t="e">
        <f t="shared" si="15"/>
        <v>#VALUE!</v>
      </c>
      <c r="R34" s="13" t="e">
        <f t="shared" si="15"/>
        <v>#VALUE!</v>
      </c>
      <c r="S34" s="13" t="e">
        <f t="shared" si="15"/>
        <v>#VALUE!</v>
      </c>
      <c r="U34" s="31" t="e">
        <f t="shared" si="11"/>
        <v>#VALUE!</v>
      </c>
      <c r="V34" s="31" t="e">
        <f t="shared" si="12"/>
        <v>#VALUE!</v>
      </c>
      <c r="W34" s="31" t="e">
        <f t="shared" si="13"/>
        <v>#VALUE!</v>
      </c>
      <c r="X34" s="14" t="e">
        <f t="shared" si="14"/>
        <v>#VALUE!</v>
      </c>
      <c r="Y34" s="14" t="e">
        <f t="shared" si="10"/>
        <v>#VALUE!</v>
      </c>
      <c r="Z34" s="14" t="e">
        <f t="shared" si="10"/>
        <v>#VALUE!</v>
      </c>
      <c r="AA34" s="14"/>
    </row>
    <row r="35" spans="1:27" s="49" customFormat="1" ht="24" customHeight="1">
      <c r="A35" s="20" t="s">
        <v>14</v>
      </c>
      <c r="B35" s="27"/>
      <c r="C35" s="21" t="e">
        <f>IF($I$37=1,$K$5,"")</f>
        <v>#VALUE!</v>
      </c>
      <c r="D35" s="32">
        <v>0</v>
      </c>
      <c r="E35" s="21"/>
      <c r="F35" s="22"/>
      <c r="G35" s="8"/>
      <c r="H35" s="18">
        <f>IF(B35="Accounts Payable",1,0)</f>
        <v>0</v>
      </c>
      <c r="I35" s="18" t="e">
        <f>IF(D35=K32,1,0)</f>
        <v>#VALUE!</v>
      </c>
      <c r="N35" s="13" t="e">
        <f t="shared" ref="N35:S37" si="16">N30*3</f>
        <v>#VALUE!</v>
      </c>
      <c r="O35" s="13" t="e">
        <f t="shared" si="16"/>
        <v>#VALUE!</v>
      </c>
      <c r="P35" s="13" t="e">
        <f t="shared" si="16"/>
        <v>#VALUE!</v>
      </c>
      <c r="Q35" s="13" t="e">
        <f t="shared" si="16"/>
        <v>#VALUE!</v>
      </c>
      <c r="R35" s="13" t="e">
        <f t="shared" si="16"/>
        <v>#VALUE!</v>
      </c>
      <c r="S35" s="13" t="e">
        <f t="shared" si="16"/>
        <v>#VALUE!</v>
      </c>
      <c r="U35" s="31" t="e">
        <f t="shared" si="11"/>
        <v>#VALUE!</v>
      </c>
      <c r="V35" s="31" t="e">
        <f>O35*O36*10</f>
        <v>#VALUE!</v>
      </c>
      <c r="W35" s="31" t="e">
        <f t="shared" si="13"/>
        <v>#VALUE!</v>
      </c>
      <c r="X35" s="14" t="e">
        <f t="shared" si="14"/>
        <v>#VALUE!</v>
      </c>
      <c r="Y35" s="14" t="e">
        <f t="shared" si="10"/>
        <v>#VALUE!</v>
      </c>
      <c r="Z35" s="14" t="e">
        <f t="shared" si="10"/>
        <v>#VALUE!</v>
      </c>
      <c r="AA35" s="14"/>
    </row>
    <row r="36" spans="1:27" s="49" customFormat="1" ht="24" customHeight="1">
      <c r="A36" s="23"/>
      <c r="B36" s="28"/>
      <c r="C36" s="21" t="e">
        <f>C35</f>
        <v>#VALUE!</v>
      </c>
      <c r="D36" s="24"/>
      <c r="E36" s="21"/>
      <c r="F36" s="42">
        <f>D35</f>
        <v>0</v>
      </c>
      <c r="G36" s="8"/>
      <c r="H36" s="18">
        <f>IF(B36="Cash",1,0)</f>
        <v>0</v>
      </c>
      <c r="I36" s="34"/>
      <c r="N36" s="13" t="e">
        <f t="shared" si="16"/>
        <v>#VALUE!</v>
      </c>
      <c r="O36" s="13" t="e">
        <f t="shared" si="16"/>
        <v>#VALUE!</v>
      </c>
      <c r="P36" s="13" t="e">
        <f t="shared" si="16"/>
        <v>#VALUE!</v>
      </c>
      <c r="Q36" s="13" t="e">
        <f t="shared" si="16"/>
        <v>#VALUE!</v>
      </c>
      <c r="R36" s="13" t="e">
        <f t="shared" si="16"/>
        <v>#VALUE!</v>
      </c>
      <c r="S36" s="13" t="e">
        <f t="shared" si="16"/>
        <v>#VALUE!</v>
      </c>
      <c r="U36" s="31" t="e">
        <f t="shared" si="11"/>
        <v>#VALUE!</v>
      </c>
      <c r="V36" s="31" t="e">
        <f t="shared" si="12"/>
        <v>#VALUE!</v>
      </c>
      <c r="W36" s="31" t="e">
        <f t="shared" si="13"/>
        <v>#VALUE!</v>
      </c>
      <c r="X36" s="14" t="e">
        <f t="shared" si="14"/>
        <v>#VALUE!</v>
      </c>
      <c r="Y36" s="14" t="e">
        <f t="shared" si="10"/>
        <v>#VALUE!</v>
      </c>
      <c r="Z36" s="14" t="e">
        <f t="shared" si="10"/>
        <v>#VALUE!</v>
      </c>
      <c r="AA36" s="14"/>
    </row>
    <row r="37" spans="1:27" s="49" customFormat="1" ht="24" customHeight="1">
      <c r="A37" s="23"/>
      <c r="B37" s="25" t="e">
        <f>CONCATENATE("Paid outstanding payables of "&amp;M32&amp;" on which no discount was received. ")</f>
        <v>#VALUE!</v>
      </c>
      <c r="C37" s="25"/>
      <c r="D37" s="26"/>
      <c r="E37" s="26"/>
      <c r="F37" s="26"/>
      <c r="G37" s="8"/>
      <c r="H37" s="34"/>
      <c r="I37" s="34" t="e">
        <f>H35*H36*I35</f>
        <v>#VALUE!</v>
      </c>
      <c r="N37" s="13" t="e">
        <f t="shared" si="16"/>
        <v>#VALUE!</v>
      </c>
      <c r="O37" s="13" t="e">
        <f t="shared" si="16"/>
        <v>#VALUE!</v>
      </c>
      <c r="P37" s="13" t="e">
        <f t="shared" si="16"/>
        <v>#VALUE!</v>
      </c>
      <c r="Q37" s="13" t="e">
        <f t="shared" si="16"/>
        <v>#VALUE!</v>
      </c>
      <c r="R37" s="13" t="e">
        <f t="shared" si="16"/>
        <v>#VALUE!</v>
      </c>
      <c r="S37" s="13" t="e">
        <f t="shared" si="16"/>
        <v>#VALUE!</v>
      </c>
      <c r="U37" s="30"/>
      <c r="V37" s="30"/>
      <c r="W37" s="30"/>
    </row>
    <row r="38" spans="1:27" s="49" customFormat="1" ht="24" customHeight="1">
      <c r="A38" s="8"/>
      <c r="B38" s="8"/>
      <c r="C38" s="8"/>
      <c r="D38" s="12"/>
      <c r="E38" s="8"/>
      <c r="F38" s="11"/>
      <c r="G38" s="8"/>
      <c r="H38" s="8"/>
    </row>
    <row r="39" spans="1:27" hidden="1">
      <c r="A39" s="48"/>
      <c r="B39" s="34"/>
      <c r="C39" s="48"/>
      <c r="D39" s="34"/>
      <c r="E39" s="34"/>
      <c r="F39" s="34"/>
      <c r="G39" s="34"/>
    </row>
    <row r="40" spans="1:27" hidden="1">
      <c r="A40" s="48"/>
      <c r="B40" s="48"/>
      <c r="C40" s="48"/>
      <c r="D40" s="34"/>
      <c r="E40" s="34"/>
      <c r="F40" s="34"/>
      <c r="G40" s="34"/>
    </row>
    <row r="41" spans="1:27" hidden="1">
      <c r="A41" s="48"/>
      <c r="B41" s="48"/>
      <c r="C41" s="48"/>
      <c r="D41" s="34"/>
      <c r="E41" s="34"/>
      <c r="F41" s="34"/>
      <c r="G41" s="34"/>
    </row>
    <row r="42" spans="1:27" hidden="1">
      <c r="A42" s="48"/>
      <c r="B42" s="48"/>
      <c r="C42" s="48"/>
      <c r="D42" s="34"/>
      <c r="E42" s="34"/>
      <c r="F42" s="34"/>
      <c r="G42" s="34"/>
    </row>
    <row r="43" spans="1:27" hidden="1">
      <c r="A43" s="59"/>
      <c r="B43" s="59"/>
      <c r="C43" s="48"/>
      <c r="D43" s="34"/>
      <c r="E43" s="34"/>
      <c r="F43" s="34"/>
      <c r="G43" s="34"/>
    </row>
    <row r="44" spans="1:27" hidden="1">
      <c r="A44" s="60"/>
      <c r="B44" s="60"/>
      <c r="C44" s="60"/>
      <c r="D44" s="60"/>
      <c r="E44" s="60"/>
      <c r="F44" s="60"/>
      <c r="G44" s="60"/>
    </row>
    <row r="45" spans="1:27" hidden="1">
      <c r="A45" s="8"/>
      <c r="B45" s="48"/>
      <c r="C45" s="10"/>
      <c r="D45" s="11"/>
      <c r="E45" s="8"/>
      <c r="F45" s="8"/>
      <c r="G45" s="8"/>
    </row>
    <row r="46" spans="1:27" hidden="1"/>
    <row r="47" spans="1:27" hidden="1"/>
    <row r="48" spans="1:27" hidden="1"/>
    <row r="49" spans="16:16" hidden="1"/>
    <row r="50" spans="16:16" hidden="1">
      <c r="P50" s="34" t="s">
        <v>31</v>
      </c>
    </row>
    <row r="51" spans="16:16" hidden="1">
      <c r="P51" s="34" t="s">
        <v>19</v>
      </c>
    </row>
    <row r="52" spans="16:16" hidden="1">
      <c r="P52" s="34" t="s">
        <v>18</v>
      </c>
    </row>
    <row r="53" spans="16:16" hidden="1">
      <c r="P53" s="34" t="s">
        <v>30</v>
      </c>
    </row>
    <row r="54" spans="16:16" hidden="1">
      <c r="P54" s="34" t="s">
        <v>18</v>
      </c>
    </row>
    <row r="55" spans="16:16" hidden="1">
      <c r="P55" s="34" t="s">
        <v>32</v>
      </c>
    </row>
    <row r="56" spans="16:16" hidden="1">
      <c r="P56" s="34" t="s">
        <v>35</v>
      </c>
    </row>
    <row r="57" spans="16:16" hidden="1">
      <c r="P57" s="34" t="s">
        <v>33</v>
      </c>
    </row>
    <row r="58" spans="16:16" hidden="1">
      <c r="P58" s="34" t="s">
        <v>34</v>
      </c>
    </row>
    <row r="59" spans="16:16" hidden="1">
      <c r="P59" s="34"/>
    </row>
  </sheetData>
  <sheetProtection algorithmName="SHA-512" hashValue="dWe9Cephx0bnhcQxb4eMqwHlvv5bHc0i3vegLSw5zKHOhddzzwYCrNGHUb5bBtCY30U4Nu6ncbaBkoBc9SeRXw==" saltValue="iUFwmCRnIzfSxBL7lFPKvQ==" spinCount="100000" sheet="1" objects="1" scenarios="1"/>
  <mergeCells count="5">
    <mergeCell ref="A43:B43"/>
    <mergeCell ref="A44:G44"/>
    <mergeCell ref="A2:F2"/>
    <mergeCell ref="A3:F3"/>
    <mergeCell ref="B4:F4"/>
  </mergeCells>
  <phoneticPr fontId="2" type="noConversion"/>
  <dataValidations count="7">
    <dataValidation type="list" allowBlank="1" showInputMessage="1" showErrorMessage="1" sqref="B7:B8 B14:B15 B21:B22 B27:B29 B35:B36">
      <formula1 xml:space="preserve"> accounts</formula1>
    </dataValidation>
    <dataValidation type="list" allowBlank="1" showInputMessage="1" showErrorMessage="1" sqref="D14">
      <formula1>$S$11:$S$17</formula1>
    </dataValidation>
    <dataValidation type="list" allowBlank="1" showInputMessage="1" showErrorMessage="1" sqref="D7">
      <formula1>$S$3:$S$9</formula1>
    </dataValidation>
    <dataValidation type="list" allowBlank="1" showInputMessage="1" showErrorMessage="1" sqref="D21">
      <formula1>$K$21:$K$27</formula1>
    </dataValidation>
    <dataValidation type="list" allowBlank="1" showInputMessage="1" showErrorMessage="1" sqref="F28">
      <formula1>$W$3:$W$9</formula1>
    </dataValidation>
    <dataValidation type="list" allowBlank="1" showInputMessage="1" showErrorMessage="1" sqref="D35">
      <formula1>$X$3:$X$9</formula1>
    </dataValidation>
    <dataValidation type="list" allowBlank="1" showInputMessage="1" showErrorMessage="1" sqref="D27">
      <formula1>$V$3:$V$9</formula1>
    </dataValidation>
  </dataValidations>
  <pageMargins left="0.75" right="0.75" top="1.75" bottom="1" header="0.75" footer="0.5"/>
  <pageSetup orientation="portrait" r:id="rId1"/>
  <headerFooter alignWithMargins="0">
    <oddHeader>&amp;R&amp;"Myriad Web Pro,Bold"&amp;20I-02.04</oddHeader>
  </headerFooter>
  <ignoredErrors>
    <ignoredError sqref="C14 C21" unlockedFormula="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59"/>
  <sheetViews>
    <sheetView showGridLines="0" zoomScaleNormal="100" workbookViewId="0">
      <selection activeCell="F36" sqref="F36"/>
    </sheetView>
  </sheetViews>
  <sheetFormatPr defaultColWidth="0" defaultRowHeight="12.75" customHeight="1" zeroHeight="1"/>
  <cols>
    <col min="1" max="1" width="8" style="9" customWidth="1"/>
    <col min="2" max="2" width="62.140625" style="9" customWidth="1"/>
    <col min="3" max="3" width="3.7109375" style="9" customWidth="1"/>
    <col min="4" max="4" width="15.42578125" style="9" customWidth="1"/>
    <col min="5" max="5" width="3.7109375" style="9" customWidth="1"/>
    <col min="6" max="6" width="15.42578125" style="9" customWidth="1"/>
    <col min="7" max="7" width="4.28515625" style="9" customWidth="1"/>
    <col min="8" max="10" width="8.85546875" style="9" hidden="1"/>
    <col min="11" max="11" width="23.7109375" style="9" hidden="1"/>
    <col min="12" max="12" width="8.85546875" style="9" hidden="1"/>
    <col min="13" max="13" width="16.28515625" style="9" hidden="1"/>
    <col min="14" max="14" width="13.5703125" style="9" hidden="1"/>
    <col min="15" max="15" width="8.85546875" style="9" hidden="1"/>
    <col min="16" max="16" width="58.28515625" style="9" hidden="1"/>
    <col min="17" max="18" width="8.85546875" style="9" hidden="1"/>
    <col min="19" max="19" width="18" style="9" hidden="1"/>
    <col min="20" max="20" width="22.7109375" style="9" hidden="1"/>
    <col min="21" max="21" width="8.85546875" style="9" hidden="1"/>
    <col min="22" max="22" width="21.28515625" style="9" hidden="1"/>
    <col min="23" max="23" width="16.85546875" style="9" hidden="1"/>
    <col min="24" max="24" width="12.5703125" style="9" hidden="1"/>
    <col min="25" max="25" width="18.140625" style="9" hidden="1"/>
    <col min="26" max="26" width="15" style="9" hidden="1"/>
    <col min="27" max="27" width="18.140625" style="9" hidden="1"/>
    <col min="28" max="28" width="12.5703125" style="9" hidden="1"/>
    <col min="29" max="29" width="14.85546875" style="9" hidden="1"/>
    <col min="30" max="30" width="15.140625" style="9" hidden="1"/>
    <col min="31" max="31" width="86.5703125" style="9" hidden="1"/>
    <col min="32" max="50" width="8.85546875" style="9" hidden="1"/>
    <col min="51" max="51" width="19.7109375" style="9" hidden="1"/>
    <col min="52" max="52" width="13.5703125" style="9" hidden="1"/>
    <col min="53" max="53" width="12.140625" style="9" hidden="1"/>
    <col min="54" max="54" width="17.7109375" style="9" hidden="1"/>
    <col min="55" max="55" width="11.140625" style="9" hidden="1"/>
    <col min="56" max="56" width="15" style="9" hidden="1"/>
    <col min="57" max="57" width="81.7109375" style="9" hidden="1"/>
    <col min="58" max="78" width="8.85546875" style="9" hidden="1"/>
    <col min="79" max="79" width="126.42578125" style="9" hidden="1"/>
    <col min="80" max="104" width="8.85546875" style="9" hidden="1"/>
    <col min="105" max="105" width="85.7109375" style="9" hidden="1"/>
    <col min="106" max="16384" width="8.85546875" style="9" hidden="1"/>
  </cols>
  <sheetData>
    <row r="1" spans="1:109"/>
    <row r="2" spans="1:109" s="34" customFormat="1" ht="61.5" customHeight="1">
      <c r="A2" s="61" t="e">
        <f>CONCATENATE(Identification!B1&amp;" Company is a merchandiser that buys and resells "&amp;N2&amp;".  The Company uses the periodic inventory system and occasionally receives defective inventory that is either returned or subject to a purchase price adjustment.  All purchases are on terms of "&amp;J2&amp;".")</f>
        <v>#VALUE!</v>
      </c>
      <c r="B2" s="61"/>
      <c r="C2" s="61"/>
      <c r="D2" s="61"/>
      <c r="E2" s="61"/>
      <c r="F2" s="61"/>
      <c r="H2" s="51" t="e">
        <f>I2/100</f>
        <v>#VALUE!</v>
      </c>
      <c r="I2" s="34" t="e">
        <f>IF(J2=O3,2,IF(J2=O4,3,IF(J2=O2,1)))</f>
        <v>#VALUE!</v>
      </c>
      <c r="J2" s="34" t="e">
        <f>IF(L2=1,O2,IF(L4=1,O3,IF(L11=1,O4,IF(L18=1,O4,IF(L19=1,O3,IF(L20=1,O2,""))))))</f>
        <v>#VALUE!</v>
      </c>
      <c r="K2" s="34" t="s">
        <v>20</v>
      </c>
      <c r="L2" s="34" t="e">
        <f>IF($N$29&lt;3,1,0)</f>
        <v>#VALUE!</v>
      </c>
      <c r="M2" s="35" t="e">
        <f>ROUND(Z30,0)</f>
        <v>#VALUE!</v>
      </c>
      <c r="N2" s="34" t="e">
        <f>IF(L2=1,K2,IF(L4=1,K4,IF(L11=1,K11,IF(L18=1,K18,IF(L19=1,K19,IF(L20=1,K20,""))))))</f>
        <v>#VALUE!</v>
      </c>
      <c r="O2" s="34" t="s">
        <v>26</v>
      </c>
      <c r="P2" s="36" t="e">
        <f>CONCATENATE(Identification!$B$1&amp;" Company purchased balls, gloves, and bats having a gross cost of "&amp;Z30&amp;" on account.")</f>
        <v>#VALUE!</v>
      </c>
      <c r="S2" s="34" t="e">
        <f>IF(L2=1,P2,IF(L4=1,P4,IF(L11=1,P11,IF(L18=1,P18,IF(L19=1,P19,IF(L20=1,P20,""))))))</f>
        <v>#VALUE!</v>
      </c>
      <c r="Z2" s="37" t="e">
        <f>AA2*AB2</f>
        <v>#VALUE!</v>
      </c>
      <c r="AA2" s="34" t="e">
        <f>IF($N$29&lt;3,1,0)</f>
        <v>#VALUE!</v>
      </c>
      <c r="AB2" s="35" t="e">
        <f>ROUND($T$10/15,0)</f>
        <v>#VALUE!</v>
      </c>
      <c r="AC2" s="34" t="e">
        <f>TEXT(AB2, "$#,###,###")</f>
        <v>#VALUE!</v>
      </c>
      <c r="AD2" s="38" t="e">
        <f>AB2*1</f>
        <v>#VALUE!</v>
      </c>
      <c r="AE2" s="36" t="e">
        <f>CONCATENATE("During the current year merchandise with a gross cost of "&amp;AC2&amp;" was returned to suppliers for full credit on account.")</f>
        <v>#VALUE!</v>
      </c>
      <c r="AF2" s="34" t="e">
        <f>IF(AA2=1,AE2,IF(AA4=1,AE4,IF(AA11=1,AE11,IF(AA18=1,AE18,IF(AA19=1,AE19,IF(AA20=1,AE20,""))))))</f>
        <v>#VALUE!</v>
      </c>
      <c r="BX2" s="35" t="e">
        <f>ROUND(V29/7,0)</f>
        <v>#VALUE!</v>
      </c>
      <c r="BY2" s="34" t="e">
        <f>TEXT(BX2, "$#,###,###")</f>
        <v>#VALUE!</v>
      </c>
      <c r="BZ2" s="34" t="e">
        <f>IF($N$29&lt;3,1,0)</f>
        <v>#VALUE!</v>
      </c>
      <c r="CA2" s="36" t="e">
        <f>CONCATENATE(Identification!$B$1&amp;" purchased an annual insurance policy on October 1 for "&amp;BY2&amp;".  On October 1, the policy was initially recorded as prepaid insurance.")</f>
        <v>#VALUE!</v>
      </c>
      <c r="CE2" s="34" t="e">
        <f>IF(BZ2=1,CA2,IF(BZ4=1,CA4,IF(BZ11=1,CA11,IF(BZ18=1,CA18,IF(BZ19=1,CA19,IF(BZ20=1,CA20,""))))))</f>
        <v>#VALUE!</v>
      </c>
      <c r="CW2" s="37" t="e">
        <f>90000*CZ2</f>
        <v>#VALUE!</v>
      </c>
      <c r="CX2" s="35">
        <v>25000</v>
      </c>
      <c r="CY2" s="34" t="str">
        <f>TEXT(CX2, "$#,###,###")</f>
        <v>$25,000</v>
      </c>
      <c r="CZ2" s="34" t="e">
        <f>IF($N$29&lt;3,1,0)</f>
        <v>#VALUE!</v>
      </c>
      <c r="DA2" s="36" t="str">
        <f>CONCATENATE("The company began the year with $40,000 of supplies inventory, purchased an additional $75,000 (which was recored as Supplies), and ended the year with "&amp;CY2&amp;".")</f>
        <v>The company began the year with $40,000 of supplies inventory, purchased an additional $75,000 (which was recored as Supplies), and ended the year with $25,000.</v>
      </c>
      <c r="DE2" s="34" t="e">
        <f>IF(CZ2=1,DA2,IF(CZ4=1,DA4,IF(CZ11=1,DA11,IF(CZ18=1,DA18,IF(CZ19=1,DA19,IF(CZ20=1,DA20,""))))))</f>
        <v>#VALUE!</v>
      </c>
    </row>
    <row r="3" spans="1:109" s="34" customFormat="1" ht="60.75" customHeight="1">
      <c r="A3" s="62" t="s">
        <v>38</v>
      </c>
      <c r="B3" s="62"/>
      <c r="C3" s="62"/>
      <c r="D3" s="62"/>
      <c r="E3" s="62"/>
      <c r="F3" s="62"/>
      <c r="I3" s="34" t="e">
        <f>TEXT(I2, "#,###,###")</f>
        <v>#VALUE!</v>
      </c>
      <c r="M3" s="39"/>
      <c r="O3" s="34" t="s">
        <v>27</v>
      </c>
      <c r="P3" s="36"/>
      <c r="S3" s="64">
        <v>0</v>
      </c>
      <c r="T3" s="38">
        <f>S3</f>
        <v>0</v>
      </c>
      <c r="V3" s="52">
        <f>ROUND(S3/1.2,0)</f>
        <v>0</v>
      </c>
      <c r="W3" s="53" t="e">
        <f>ROUND(V3*$H$2,0)</f>
        <v>#VALUE!</v>
      </c>
      <c r="X3" s="37">
        <f>ROUND((S3-V3)/4,0)</f>
        <v>0</v>
      </c>
      <c r="Y3" s="44" t="e">
        <f>X3*($H$2)</f>
        <v>#VALUE!</v>
      </c>
      <c r="AB3" s="39"/>
      <c r="AE3" s="36"/>
      <c r="BE3" s="50"/>
      <c r="BX3" s="39"/>
      <c r="CE3" s="34">
        <v>0</v>
      </c>
      <c r="CX3" s="39"/>
    </row>
    <row r="4" spans="1:109" s="34" customFormat="1" ht="41.25" customHeight="1">
      <c r="A4" s="41" t="s">
        <v>5</v>
      </c>
      <c r="B4" s="63" t="e">
        <f>S2</f>
        <v>#VALUE!</v>
      </c>
      <c r="C4" s="63"/>
      <c r="D4" s="63"/>
      <c r="E4" s="63"/>
      <c r="F4" s="63"/>
      <c r="K4" s="34" t="s">
        <v>21</v>
      </c>
      <c r="L4" s="34" t="e">
        <f>IF($N$29=3,1,IF($N$29=4,1,0))</f>
        <v>#VALUE!</v>
      </c>
      <c r="M4" s="35" t="e">
        <f>ROUND(Y35,0)</f>
        <v>#VALUE!</v>
      </c>
      <c r="O4" s="34" t="s">
        <v>28</v>
      </c>
      <c r="P4" s="36" t="e">
        <f>CONCATENATE(Identification!$B$1&amp;" Company purchased tables and chairs having a gross cost of "&amp;Y35&amp;" on account.")</f>
        <v>#VALUE!</v>
      </c>
      <c r="S4" s="38" t="e">
        <f>M2*(1-$H$2)</f>
        <v>#VALUE!</v>
      </c>
      <c r="T4" s="37" t="e">
        <f>S4*L2</f>
        <v>#VALUE!</v>
      </c>
      <c r="V4" s="52" t="e">
        <f t="shared" ref="V4:V9" si="0">ROUND(S4/1.2,0)</f>
        <v>#VALUE!</v>
      </c>
      <c r="W4" s="53" t="e">
        <f t="shared" ref="W4:W9" si="1">ROUND(V4*$H$2,0)</f>
        <v>#VALUE!</v>
      </c>
      <c r="X4" s="37" t="e">
        <f>ROUND((S4-V4)/4,0)</f>
        <v>#VALUE!</v>
      </c>
      <c r="Y4" s="44" t="e">
        <f t="shared" ref="Y4:Y9" si="2">X4*($H$2)</f>
        <v>#VALUE!</v>
      </c>
      <c r="Z4" s="37" t="e">
        <f>AA4*AB4</f>
        <v>#VALUE!</v>
      </c>
      <c r="AA4" s="34" t="e">
        <f>IF($N$29=3,1,IF($N$29=4,1,0))</f>
        <v>#VALUE!</v>
      </c>
      <c r="AB4" s="35" t="e">
        <f>ROUND($T$10/12,0)</f>
        <v>#VALUE!</v>
      </c>
      <c r="AC4" s="34" t="e">
        <f>TEXT(AB4, "$#,###,###")</f>
        <v>#VALUE!</v>
      </c>
      <c r="AD4" s="38" t="e">
        <f>AB4*1</f>
        <v>#VALUE!</v>
      </c>
      <c r="AE4" s="36" t="e">
        <f>CONCATENATE("During the current year merchandise with a gross cost of "&amp;AC4&amp;" was returned to suppliers for full credit on account.")</f>
        <v>#VALUE!</v>
      </c>
      <c r="BX4" s="35" t="e">
        <f>BX2*2</f>
        <v>#VALUE!</v>
      </c>
      <c r="BY4" s="34" t="e">
        <f>TEXT(BX4, "$#,###,###")</f>
        <v>#VALUE!</v>
      </c>
      <c r="BZ4" s="34" t="e">
        <f>IF($N$29=3,1,IF($N$29=4,1,0))</f>
        <v>#VALUE!</v>
      </c>
      <c r="CA4" s="36" t="e">
        <f>CONCATENATE(Identification!$B$1&amp;" purchased an annual insurance policy on October 1 for "&amp;BY4&amp;".  On October 1, the policy was initially recorded as insurance expense.")</f>
        <v>#VALUE!</v>
      </c>
      <c r="CE4" s="38" t="e">
        <f>ROUND(BX2,0)*0.75</f>
        <v>#VALUE!</v>
      </c>
      <c r="CF4" s="38" t="e">
        <f>CE4*AA2</f>
        <v>#VALUE!</v>
      </c>
      <c r="CQ4" s="35">
        <v>25000</v>
      </c>
      <c r="CW4" s="37" t="e">
        <f>85000*CZ4</f>
        <v>#VALUE!</v>
      </c>
      <c r="CX4" s="35">
        <v>30000</v>
      </c>
      <c r="CY4" s="34" t="str">
        <f>TEXT(CX4, "$#,###,###")</f>
        <v>$30,000</v>
      </c>
      <c r="CZ4" s="34" t="e">
        <f>IF($N$29=3,1,IF($N$29=4,1,0))</f>
        <v>#VALUE!</v>
      </c>
      <c r="DA4" s="36" t="str">
        <f>CONCATENATE("The company began the year with $40,000 of supplies inventory, purchased an additional $75,000 (which was recored as Supplies), and ended the year with "&amp;CY4&amp;".")</f>
        <v>The company began the year with $40,000 of supplies inventory, purchased an additional $75,000 (which was recored as Supplies), and ended the year with $30,000.</v>
      </c>
    </row>
    <row r="5" spans="1:109" s="34" customFormat="1" ht="24" customHeight="1">
      <c r="A5" s="16" t="s">
        <v>7</v>
      </c>
      <c r="B5" s="16"/>
      <c r="C5" s="16"/>
      <c r="D5" s="16"/>
      <c r="E5" s="16"/>
      <c r="F5" s="17" t="s">
        <v>6</v>
      </c>
      <c r="H5" s="9"/>
      <c r="I5" s="9"/>
      <c r="J5" s="9"/>
      <c r="K5" s="15" t="s">
        <v>12</v>
      </c>
      <c r="M5" s="39"/>
      <c r="P5" s="36"/>
      <c r="S5" s="38" t="e">
        <f>M4*(1-$H$2)</f>
        <v>#VALUE!</v>
      </c>
      <c r="T5" s="37" t="e">
        <f>S5*L4</f>
        <v>#VALUE!</v>
      </c>
      <c r="V5" s="52" t="e">
        <f t="shared" si="0"/>
        <v>#VALUE!</v>
      </c>
      <c r="W5" s="53" t="e">
        <f t="shared" si="1"/>
        <v>#VALUE!</v>
      </c>
      <c r="X5" s="37" t="e">
        <f t="shared" ref="X5:X9" si="3">ROUND((S5-V5)/4,0)</f>
        <v>#VALUE!</v>
      </c>
      <c r="Y5" s="44" t="e">
        <f t="shared" si="2"/>
        <v>#VALUE!</v>
      </c>
      <c r="AB5" s="39"/>
      <c r="AE5" s="36"/>
      <c r="BX5" s="39"/>
      <c r="CE5" s="38" t="e">
        <f>ROUND(BX4,0)*0.75</f>
        <v>#VALUE!</v>
      </c>
      <c r="CF5" s="38" t="e">
        <f>CE5*AA4</f>
        <v>#VALUE!</v>
      </c>
      <c r="CX5" s="39"/>
    </row>
    <row r="6" spans="1:109" s="34" customFormat="1" ht="24" customHeight="1">
      <c r="A6" s="19" t="s">
        <v>0</v>
      </c>
      <c r="B6" s="19" t="s">
        <v>1</v>
      </c>
      <c r="C6" s="19"/>
      <c r="D6" s="19" t="s">
        <v>2</v>
      </c>
      <c r="E6" s="19"/>
      <c r="F6" s="19" t="s">
        <v>3</v>
      </c>
      <c r="H6" s="18"/>
      <c r="I6" s="18"/>
      <c r="J6" s="18"/>
      <c r="K6" s="18"/>
      <c r="M6" s="39"/>
      <c r="P6" s="36"/>
      <c r="S6" s="38" t="e">
        <f>M11*(1-$H$2)</f>
        <v>#VALUE!</v>
      </c>
      <c r="T6" s="37" t="e">
        <f>S6*L11</f>
        <v>#VALUE!</v>
      </c>
      <c r="V6" s="52" t="e">
        <f t="shared" si="0"/>
        <v>#VALUE!</v>
      </c>
      <c r="W6" s="53" t="e">
        <f t="shared" si="1"/>
        <v>#VALUE!</v>
      </c>
      <c r="X6" s="37" t="e">
        <f t="shared" si="3"/>
        <v>#VALUE!</v>
      </c>
      <c r="Y6" s="44" t="e">
        <f t="shared" si="2"/>
        <v>#VALUE!</v>
      </c>
      <c r="AB6" s="39"/>
      <c r="AE6" s="36"/>
      <c r="BX6" s="39"/>
      <c r="CE6" s="38" t="e">
        <f>ROUND(BX11,0)*0.75</f>
        <v>#VALUE!</v>
      </c>
      <c r="CF6" s="38" t="e">
        <f>CE6*AA11</f>
        <v>#VALUE!</v>
      </c>
      <c r="CX6" s="39"/>
    </row>
    <row r="7" spans="1:109" s="34" customFormat="1" ht="24" customHeight="1">
      <c r="A7" s="20" t="s">
        <v>6</v>
      </c>
      <c r="B7" s="27"/>
      <c r="C7" s="21" t="e">
        <f>IF($I$9=1,$K$5,"")</f>
        <v>#VALUE!</v>
      </c>
      <c r="D7" s="32">
        <v>0</v>
      </c>
      <c r="E7" s="21"/>
      <c r="F7" s="22"/>
      <c r="H7" s="18">
        <f>IF(B7="Purchases",1,0)</f>
        <v>0</v>
      </c>
      <c r="I7" s="18" t="e">
        <f>IF(D7=T10,1,0)</f>
        <v>#VALUE!</v>
      </c>
      <c r="J7" s="18"/>
      <c r="K7" s="18"/>
      <c r="M7" s="39"/>
      <c r="P7" s="36"/>
      <c r="S7" s="38" t="e">
        <f>M18*(1-$H$2)</f>
        <v>#VALUE!</v>
      </c>
      <c r="T7" s="37" t="e">
        <f>S7*L18</f>
        <v>#VALUE!</v>
      </c>
      <c r="V7" s="52" t="e">
        <f t="shared" si="0"/>
        <v>#VALUE!</v>
      </c>
      <c r="W7" s="53" t="e">
        <f t="shared" si="1"/>
        <v>#VALUE!</v>
      </c>
      <c r="X7" s="37" t="e">
        <f t="shared" si="3"/>
        <v>#VALUE!</v>
      </c>
      <c r="Y7" s="44" t="e">
        <f t="shared" si="2"/>
        <v>#VALUE!</v>
      </c>
      <c r="AB7" s="39"/>
      <c r="AE7" s="36"/>
      <c r="BX7" s="39"/>
      <c r="CE7" s="38" t="e">
        <f t="shared" ref="CE7:CE8" si="4">ROUND(BX18,0)*0.75</f>
        <v>#VALUE!</v>
      </c>
      <c r="CF7" s="38" t="e">
        <f>CE7*AA18</f>
        <v>#VALUE!</v>
      </c>
      <c r="CX7" s="39"/>
    </row>
    <row r="8" spans="1:109" s="34" customFormat="1" ht="24" customHeight="1">
      <c r="A8" s="23"/>
      <c r="B8" s="28"/>
      <c r="C8" s="21" t="e">
        <f>C7</f>
        <v>#VALUE!</v>
      </c>
      <c r="D8" s="24"/>
      <c r="E8" s="21"/>
      <c r="F8" s="42">
        <f>D7</f>
        <v>0</v>
      </c>
      <c r="H8" s="18">
        <f>IF(B8="Accounts Payable",1,0)</f>
        <v>0</v>
      </c>
      <c r="I8" s="18"/>
      <c r="J8" s="18"/>
      <c r="K8" s="18"/>
      <c r="M8" s="39"/>
      <c r="P8" s="36"/>
      <c r="S8" s="38" t="e">
        <f>M19*(1-$H$2)</f>
        <v>#VALUE!</v>
      </c>
      <c r="T8" s="37" t="e">
        <f t="shared" ref="T8" si="5">S8*L19</f>
        <v>#VALUE!</v>
      </c>
      <c r="V8" s="52" t="e">
        <f t="shared" si="0"/>
        <v>#VALUE!</v>
      </c>
      <c r="W8" s="53" t="e">
        <f t="shared" si="1"/>
        <v>#VALUE!</v>
      </c>
      <c r="X8" s="37" t="e">
        <f t="shared" si="3"/>
        <v>#VALUE!</v>
      </c>
      <c r="Y8" s="44" t="e">
        <f t="shared" si="2"/>
        <v>#VALUE!</v>
      </c>
      <c r="AB8" s="39"/>
      <c r="AE8" s="36"/>
      <c r="BX8" s="39"/>
      <c r="CE8" s="38" t="e">
        <f t="shared" si="4"/>
        <v>#VALUE!</v>
      </c>
      <c r="CF8" s="38" t="e">
        <f>CE8*AA19</f>
        <v>#VALUE!</v>
      </c>
      <c r="CX8" s="39"/>
    </row>
    <row r="9" spans="1:109" s="34" customFormat="1" ht="24" customHeight="1">
      <c r="A9" s="23"/>
      <c r="B9" s="25" t="e">
        <f>CONCATENATE("Purchased inventory on account, terms "&amp;J2&amp;"")</f>
        <v>#VALUE!</v>
      </c>
      <c r="C9" s="25"/>
      <c r="D9" s="26"/>
      <c r="E9" s="26"/>
      <c r="F9" s="26"/>
      <c r="I9" s="34" t="e">
        <f>H7*H8*I7</f>
        <v>#VALUE!</v>
      </c>
      <c r="K9" s="18"/>
      <c r="M9" s="39"/>
      <c r="P9" s="36"/>
      <c r="S9" s="38" t="e">
        <f>M20*(1-$H$2)</f>
        <v>#VALUE!</v>
      </c>
      <c r="T9" s="37" t="e">
        <f>S9*L20</f>
        <v>#VALUE!</v>
      </c>
      <c r="V9" s="52" t="e">
        <f t="shared" si="0"/>
        <v>#VALUE!</v>
      </c>
      <c r="W9" s="53" t="e">
        <f t="shared" si="1"/>
        <v>#VALUE!</v>
      </c>
      <c r="X9" s="37" t="e">
        <f t="shared" si="3"/>
        <v>#VALUE!</v>
      </c>
      <c r="Y9" s="44" t="e">
        <f t="shared" si="2"/>
        <v>#VALUE!</v>
      </c>
      <c r="AB9" s="39"/>
      <c r="AE9" s="36"/>
      <c r="BX9" s="39"/>
      <c r="CE9" s="38" t="e">
        <f>ROUND(BX20,0)*0.75</f>
        <v>#VALUE!</v>
      </c>
      <c r="CF9" s="38" t="e">
        <f>CE9*AA20</f>
        <v>#VALUE!</v>
      </c>
      <c r="CX9" s="39"/>
    </row>
    <row r="10" spans="1:109" s="34" customFormat="1" ht="24" customHeight="1">
      <c r="A10" s="15"/>
      <c r="B10" s="50"/>
      <c r="C10" s="50"/>
      <c r="D10" s="50"/>
      <c r="E10" s="50"/>
      <c r="F10" s="50"/>
      <c r="M10" s="39"/>
      <c r="P10" s="36"/>
      <c r="T10" s="38" t="e">
        <f>SUM(T3:T9)</f>
        <v>#VALUE!</v>
      </c>
      <c r="AB10" s="39"/>
      <c r="AE10" s="36"/>
      <c r="BX10" s="39"/>
      <c r="CE10" s="38"/>
      <c r="CF10" s="38" t="e">
        <f>SUM(CF4:CF9)</f>
        <v>#VALUE!</v>
      </c>
      <c r="CX10" s="39"/>
    </row>
    <row r="11" spans="1:109" s="34" customFormat="1" ht="66" customHeight="1">
      <c r="A11" s="50" t="s">
        <v>4</v>
      </c>
      <c r="B11" s="50" t="e">
        <f>AF2</f>
        <v>#VALUE!</v>
      </c>
      <c r="C11" s="50"/>
      <c r="K11" s="34" t="s">
        <v>22</v>
      </c>
      <c r="L11" s="34" t="e">
        <f>IF($N$29=5,1,0)</f>
        <v>#VALUE!</v>
      </c>
      <c r="M11" s="35" t="e">
        <f>ROUND(Z29,0)</f>
        <v>#VALUE!</v>
      </c>
      <c r="P11" s="36" t="e">
        <f>CONCATENATE(Identification!$B$1&amp;" Company purchased coats and sweaters having a gross cost of "&amp;Z29&amp;" on account.")</f>
        <v>#VALUE!</v>
      </c>
      <c r="S11" s="40">
        <v>0</v>
      </c>
      <c r="T11" s="38">
        <f>S11*L9</f>
        <v>0</v>
      </c>
      <c r="W11" s="66" t="e">
        <f>(V3)*(1-$H$2)</f>
        <v>#VALUE!</v>
      </c>
      <c r="Z11" s="37" t="e">
        <f>AA11*AB11</f>
        <v>#VALUE!</v>
      </c>
      <c r="AA11" s="34" t="e">
        <f>IF($N$29=5,1,0)</f>
        <v>#VALUE!</v>
      </c>
      <c r="AB11" s="35" t="e">
        <f>ROUND($T$10/20,0)</f>
        <v>#VALUE!</v>
      </c>
      <c r="AC11" s="34" t="e">
        <f>TEXT(AB11, "$#,###,###")</f>
        <v>#VALUE!</v>
      </c>
      <c r="AD11" s="38" t="e">
        <f>AB11*1</f>
        <v>#VALUE!</v>
      </c>
      <c r="AE11" s="36" t="e">
        <f>CONCATENATE("During the current year merchandise with a gross cost of "&amp;AC11&amp;" was returned to suppliers for full credit on account.")</f>
        <v>#VALUE!</v>
      </c>
      <c r="BA11" s="9"/>
      <c r="BB11" s="9"/>
      <c r="BC11" s="9"/>
      <c r="BD11" s="9"/>
      <c r="BE11" s="9"/>
      <c r="BF11" s="9"/>
      <c r="BX11" s="35" t="e">
        <f>BX4/3</f>
        <v>#VALUE!</v>
      </c>
      <c r="BY11" s="34" t="e">
        <f>TEXT(BX11, "$#,###,###")</f>
        <v>#VALUE!</v>
      </c>
      <c r="BZ11" s="34" t="e">
        <f>IF($N$29=5,1,0)</f>
        <v>#VALUE!</v>
      </c>
      <c r="CA11" s="36" t="e">
        <f>CONCATENATE(Identification!$B$1&amp;" purchased an annual insurance policy on October 1 for "&amp;BY11&amp;".  On October 1, the policy was initially recorded as insurance expense.")</f>
        <v>#VALUE!</v>
      </c>
      <c r="CW11" s="37" t="e">
        <f>80000*CZ11</f>
        <v>#VALUE!</v>
      </c>
      <c r="CX11" s="35">
        <v>35000</v>
      </c>
      <c r="CY11" s="34" t="str">
        <f>TEXT(CX11, "$#,###,###")</f>
        <v>$35,000</v>
      </c>
      <c r="CZ11" s="34" t="e">
        <f>IF($N$29=5,1,0)</f>
        <v>#VALUE!</v>
      </c>
      <c r="DA11" s="36" t="str">
        <f>CONCATENATE("The company began the year with $40,000 of supplies inventory, purchased an additional $75,000 (which was recored as Supplies), and ended the year with "&amp;CY11&amp;".")</f>
        <v>The company began the year with $40,000 of supplies inventory, purchased an additional $75,000 (which was recored as Supplies), and ended the year with $35,000.</v>
      </c>
    </row>
    <row r="12" spans="1:109" s="34" customFormat="1" ht="24" customHeight="1">
      <c r="A12" s="16" t="s">
        <v>7</v>
      </c>
      <c r="B12" s="16"/>
      <c r="C12" s="16"/>
      <c r="D12" s="16"/>
      <c r="E12" s="16"/>
      <c r="F12" s="17" t="s">
        <v>6</v>
      </c>
      <c r="K12" s="38" t="e">
        <f>AD2</f>
        <v>#VALUE!</v>
      </c>
      <c r="M12" s="39"/>
      <c r="P12" s="36"/>
      <c r="S12" s="40" t="e">
        <f>K12*(1-$H$2)</f>
        <v>#VALUE!</v>
      </c>
      <c r="T12" s="38" t="e">
        <f>S12*L2</f>
        <v>#VALUE!</v>
      </c>
      <c r="W12" s="66" t="e">
        <f t="shared" ref="W12:W17" si="6">(V4)*(1-$H$2)</f>
        <v>#VALUE!</v>
      </c>
      <c r="AB12" s="39"/>
      <c r="AE12" s="36"/>
      <c r="AY12" s="38" t="e">
        <f>BA12*BD12</f>
        <v>#VALUE!</v>
      </c>
      <c r="AZ12" s="37" t="e">
        <f>BA12*BB12</f>
        <v>#VALUE!</v>
      </c>
      <c r="BA12" s="34" t="e">
        <f>IF($N$29&lt;3,1,0)</f>
        <v>#VALUE!</v>
      </c>
      <c r="BB12" s="35" t="e">
        <f>ROUND(V34/2.5,0)</f>
        <v>#VALUE!</v>
      </c>
      <c r="BC12" s="34" t="e">
        <f>TEXT(BB12, "$#,###,###")</f>
        <v>#VALUE!</v>
      </c>
      <c r="BD12" s="38" t="e">
        <f>BB12</f>
        <v>#VALUE!</v>
      </c>
      <c r="BE12" s="36" t="e">
        <f>CONCATENATE("Selected inventory was found to have minor defects for which suppliers granted gross price reductions of "&amp;BC12&amp;".")</f>
        <v>#VALUE!</v>
      </c>
      <c r="BF12" s="34" t="e">
        <f>IF(BA12=1,BE12,IF(BA14=1,BE14,IF(BA21=1,BE21,IF(BA29=1,BE29,IF(BA30=1,BE30,IF(BA31=1,BE31,""))))))</f>
        <v>#VALUE!</v>
      </c>
      <c r="BX12" s="39"/>
      <c r="CX12" s="39"/>
    </row>
    <row r="13" spans="1:109" s="34" customFormat="1" ht="24" customHeight="1">
      <c r="A13" s="19" t="s">
        <v>0</v>
      </c>
      <c r="B13" s="19" t="s">
        <v>1</v>
      </c>
      <c r="C13" s="19"/>
      <c r="D13" s="19" t="s">
        <v>2</v>
      </c>
      <c r="E13" s="19"/>
      <c r="F13" s="19" t="s">
        <v>3</v>
      </c>
      <c r="K13" s="38" t="e">
        <f>AD4</f>
        <v>#VALUE!</v>
      </c>
      <c r="M13" s="39"/>
      <c r="P13" s="36"/>
      <c r="S13" s="38" t="e">
        <f>K13*(1-$H$2)</f>
        <v>#VALUE!</v>
      </c>
      <c r="T13" s="38" t="e">
        <f>S13*L4</f>
        <v>#VALUE!</v>
      </c>
      <c r="W13" s="66" t="e">
        <f t="shared" si="6"/>
        <v>#VALUE!</v>
      </c>
      <c r="AB13" s="39"/>
      <c r="AE13" s="36"/>
      <c r="BB13" s="39"/>
      <c r="BE13" s="36"/>
      <c r="BX13" s="39"/>
      <c r="CX13" s="39"/>
    </row>
    <row r="14" spans="1:109" s="34" customFormat="1" ht="24" customHeight="1">
      <c r="A14" s="20" t="s">
        <v>6</v>
      </c>
      <c r="B14" s="27"/>
      <c r="C14" s="21" t="e">
        <f>IF($I$16=1,$K$5,"")</f>
        <v>#VALUE!</v>
      </c>
      <c r="D14" s="32">
        <v>0</v>
      </c>
      <c r="E14" s="21" t="str">
        <f>IF(L15=4,#REF!,"")</f>
        <v/>
      </c>
      <c r="F14" s="22"/>
      <c r="H14" s="18">
        <f>IF(B14="Accounts Payable",1,0)</f>
        <v>0</v>
      </c>
      <c r="I14" s="18" t="e">
        <f>IF(D14=T18,1,0)</f>
        <v>#VALUE!</v>
      </c>
      <c r="K14" s="38" t="e">
        <f>AD11</f>
        <v>#VALUE!</v>
      </c>
      <c r="M14" s="39"/>
      <c r="P14" s="36"/>
      <c r="S14" s="38" t="e">
        <f>K14*(1-$H$2)</f>
        <v>#VALUE!</v>
      </c>
      <c r="T14" s="38" t="e">
        <f>S14*L11</f>
        <v>#VALUE!</v>
      </c>
      <c r="W14" s="66" t="e">
        <f t="shared" si="6"/>
        <v>#VALUE!</v>
      </c>
      <c r="AB14" s="39"/>
      <c r="AE14" s="36"/>
      <c r="AW14" s="34">
        <v>0</v>
      </c>
      <c r="AY14" s="38" t="e">
        <f>BA14*BD14</f>
        <v>#VALUE!</v>
      </c>
      <c r="AZ14" s="37" t="e">
        <f>BA14*BB14</f>
        <v>#VALUE!</v>
      </c>
      <c r="BA14" s="34" t="e">
        <f>IF($N$29=4,1,IF($N$29=3,1,0))</f>
        <v>#VALUE!</v>
      </c>
      <c r="BB14" s="35" t="e">
        <f>ROUND(V35/20,0)</f>
        <v>#VALUE!</v>
      </c>
      <c r="BC14" s="34" t="e">
        <f>TEXT(BB14, "$#,###,###")</f>
        <v>#VALUE!</v>
      </c>
      <c r="BD14" s="38" t="e">
        <f>BB14</f>
        <v>#VALUE!</v>
      </c>
      <c r="BE14" s="36" t="e">
        <f>CONCATENATE("Selected inventory was found to have minor defects for which suppliers granted gross price reductions of "&amp;BC14&amp;".")</f>
        <v>#VALUE!</v>
      </c>
      <c r="BX14" s="39"/>
      <c r="CX14" s="39"/>
    </row>
    <row r="15" spans="1:109" s="34" customFormat="1" ht="24" customHeight="1">
      <c r="A15" s="23"/>
      <c r="B15" s="28"/>
      <c r="C15" s="21" t="e">
        <f>C14</f>
        <v>#VALUE!</v>
      </c>
      <c r="D15" s="24"/>
      <c r="E15" s="21" t="str">
        <f>IF(L15=4,#REF!,"")</f>
        <v/>
      </c>
      <c r="F15" s="42">
        <f>D14</f>
        <v>0</v>
      </c>
      <c r="H15" s="18">
        <f>IF(B15="Purchase Returns &amp; Allowances",1,0)</f>
        <v>0</v>
      </c>
      <c r="K15" s="38" t="e">
        <f>AD18</f>
        <v>#VALUE!</v>
      </c>
      <c r="M15" s="39"/>
      <c r="P15" s="36"/>
      <c r="S15" s="38" t="e">
        <f>K15*(1-$H$2)</f>
        <v>#VALUE!</v>
      </c>
      <c r="T15" s="38" t="e">
        <f>S15*L18</f>
        <v>#VALUE!</v>
      </c>
      <c r="W15" s="66" t="e">
        <f t="shared" si="6"/>
        <v>#VALUE!</v>
      </c>
      <c r="AB15" s="39"/>
      <c r="AE15" s="36"/>
      <c r="AW15" s="37" t="e">
        <f>BB12</f>
        <v>#VALUE!</v>
      </c>
      <c r="BB15" s="39"/>
      <c r="BE15" s="36"/>
      <c r="BX15" s="39"/>
      <c r="CX15" s="39"/>
    </row>
    <row r="16" spans="1:109" s="34" customFormat="1" ht="24" customHeight="1">
      <c r="A16" s="23"/>
      <c r="B16" s="25" t="s">
        <v>36</v>
      </c>
      <c r="C16" s="25"/>
      <c r="D16" s="26"/>
      <c r="E16" s="26"/>
      <c r="F16" s="26"/>
      <c r="I16" s="34" t="e">
        <f>H14*H15*I14</f>
        <v>#VALUE!</v>
      </c>
      <c r="K16" s="38" t="e">
        <f t="shared" ref="K16:K17" si="7">AD19</f>
        <v>#VALUE!</v>
      </c>
      <c r="M16" s="39"/>
      <c r="P16" s="36"/>
      <c r="S16" s="38" t="e">
        <f>K16*(1-$H$2)</f>
        <v>#VALUE!</v>
      </c>
      <c r="T16" s="38" t="e">
        <f>S16*L19</f>
        <v>#VALUE!</v>
      </c>
      <c r="W16" s="66" t="e">
        <f t="shared" si="6"/>
        <v>#VALUE!</v>
      </c>
      <c r="AB16" s="39"/>
      <c r="AE16" s="36"/>
      <c r="AW16" s="37" t="e">
        <f>BB14</f>
        <v>#VALUE!</v>
      </c>
      <c r="BB16" s="39"/>
      <c r="BE16" s="36"/>
      <c r="BX16" s="39"/>
      <c r="CX16" s="39"/>
    </row>
    <row r="17" spans="1:108" s="34" customFormat="1" ht="24" customHeight="1">
      <c r="A17" s="15"/>
      <c r="B17" s="50"/>
      <c r="C17" s="50"/>
      <c r="D17" s="50"/>
      <c r="E17" s="50"/>
      <c r="F17" s="50"/>
      <c r="K17" s="38" t="e">
        <f t="shared" si="7"/>
        <v>#VALUE!</v>
      </c>
      <c r="M17" s="39"/>
      <c r="P17" s="36"/>
      <c r="S17" s="38" t="e">
        <f>K17*(1-$H$2)</f>
        <v>#VALUE!</v>
      </c>
      <c r="T17" s="38" t="e">
        <f>S17*L20</f>
        <v>#VALUE!</v>
      </c>
      <c r="W17" s="66" t="e">
        <f t="shared" si="6"/>
        <v>#VALUE!</v>
      </c>
      <c r="AB17" s="39"/>
      <c r="AE17" s="36"/>
      <c r="AW17" s="37" t="e">
        <f>BB21</f>
        <v>#VALUE!</v>
      </c>
      <c r="BB17" s="39"/>
      <c r="BE17" s="36"/>
      <c r="BX17" s="39"/>
      <c r="CX17" s="39"/>
    </row>
    <row r="18" spans="1:108" s="34" customFormat="1" ht="74.25" customHeight="1">
      <c r="A18" s="50" t="s">
        <v>15</v>
      </c>
      <c r="B18" s="50" t="e">
        <f>BF12</f>
        <v>#VALUE!</v>
      </c>
      <c r="C18" s="50"/>
      <c r="K18" s="34" t="s">
        <v>23</v>
      </c>
      <c r="L18" s="34" t="e">
        <f>IF($N$29=6,1,0)</f>
        <v>#VALUE!</v>
      </c>
      <c r="M18" s="35" t="e">
        <f>ROUND(Z34,0)</f>
        <v>#VALUE!</v>
      </c>
      <c r="P18" s="36" t="e">
        <f>CONCATENATE(Identification!$B$1&amp;" Company purchased athletic shoes having a gross cost of P19 "&amp;Z34&amp;" on account.")</f>
        <v>#VALUE!</v>
      </c>
      <c r="T18" s="38" t="e">
        <f>SUM(T11:T17)</f>
        <v>#VALUE!</v>
      </c>
      <c r="Z18" s="37" t="e">
        <f>AA18*AB18</f>
        <v>#VALUE!</v>
      </c>
      <c r="AA18" s="34" t="e">
        <f>IF($N$29=6,1,0)</f>
        <v>#VALUE!</v>
      </c>
      <c r="AB18" s="35" t="e">
        <f>ROUND($T$10/18,0)</f>
        <v>#VALUE!</v>
      </c>
      <c r="AC18" s="34" t="e">
        <f>TEXT(AB18, "$#,###,###")</f>
        <v>#VALUE!</v>
      </c>
      <c r="AD18" s="38" t="e">
        <f t="shared" ref="AD18:AD20" si="8">AB18*1</f>
        <v>#VALUE!</v>
      </c>
      <c r="AE18" s="36" t="e">
        <f>CONCATENATE("During the current year merchandise with a gross cost of "&amp;AC18&amp;" was returned to suppliers for full credit on account.")</f>
        <v>#VALUE!</v>
      </c>
      <c r="AW18" s="37" t="e">
        <f>BB29</f>
        <v>#VALUE!</v>
      </c>
      <c r="BB18" s="39"/>
      <c r="BE18" s="36"/>
      <c r="BX18" s="35" t="e">
        <f>BX11*2.2</f>
        <v>#VALUE!</v>
      </c>
      <c r="BY18" s="34" t="e">
        <f>TEXT(BX18, "$#,###,###")</f>
        <v>#VALUE!</v>
      </c>
      <c r="BZ18" s="34" t="e">
        <f>IF($N$29=6,1,0)</f>
        <v>#VALUE!</v>
      </c>
      <c r="CA18" s="36" t="e">
        <f>CONCATENATE(Identification!$B$1&amp;" purchased an annual insurance policy on October 1 for "&amp;BY18&amp;".  On October 1, the policy was initially recorded as prepaid insurance.")</f>
        <v>#VALUE!</v>
      </c>
      <c r="CW18" s="37" t="e">
        <f>75000*CZ18</f>
        <v>#VALUE!</v>
      </c>
      <c r="CX18" s="35">
        <v>40000</v>
      </c>
      <c r="CY18" s="34" t="str">
        <f>TEXT(CX18, "$#,###,###")</f>
        <v>$40,000</v>
      </c>
      <c r="CZ18" s="34" t="e">
        <f>IF($N$29=6,1,0)</f>
        <v>#VALUE!</v>
      </c>
      <c r="DA18" s="36" t="str">
        <f>CONCATENATE("The company began the year with $40,000 of supplies inventory, purchased an additional $75,000 (which was recored as Supplies), and ended the year with "&amp;CY18&amp;".")</f>
        <v>The company began the year with $40,000 of supplies inventory, purchased an additional $75,000 (which was recored as Supplies), and ended the year with $40,000.</v>
      </c>
    </row>
    <row r="19" spans="1:108" s="34" customFormat="1" ht="24" customHeight="1">
      <c r="A19" s="16" t="s">
        <v>7</v>
      </c>
      <c r="B19" s="16"/>
      <c r="C19" s="16"/>
      <c r="D19" s="16"/>
      <c r="E19" s="16"/>
      <c r="F19" s="17" t="s">
        <v>6</v>
      </c>
      <c r="K19" s="34" t="s">
        <v>24</v>
      </c>
      <c r="L19" s="34" t="e">
        <f>IF($N$29=7,1,0)</f>
        <v>#VALUE!</v>
      </c>
      <c r="M19" s="35" t="e">
        <f>ROUND(Z35,0)</f>
        <v>#VALUE!</v>
      </c>
      <c r="P19" s="36" t="e">
        <f>CONCATENATE(Identification!$B$1&amp;" Company purchased refrigerators and stoves having a gross cost of "&amp;Z35&amp;" on account.")</f>
        <v>#VALUE!</v>
      </c>
      <c r="Z19" s="37" t="e">
        <f>AA19*AB19</f>
        <v>#VALUE!</v>
      </c>
      <c r="AA19" s="34" t="e">
        <f>IF($N$29=7,1,0)</f>
        <v>#VALUE!</v>
      </c>
      <c r="AB19" s="35" t="e">
        <f>ROUND($T$10/5,0)</f>
        <v>#VALUE!</v>
      </c>
      <c r="AC19" s="34" t="e">
        <f>TEXT(AB19, "$#,###,###")</f>
        <v>#VALUE!</v>
      </c>
      <c r="AD19" s="38" t="e">
        <f t="shared" si="8"/>
        <v>#VALUE!</v>
      </c>
      <c r="AE19" s="36" t="e">
        <f>CONCATENATE("During the current year merchandise with a gross cost of "&amp;AC19&amp;" was returned to suppliers for full credit on account.")</f>
        <v>#VALUE!</v>
      </c>
      <c r="AW19" s="37" t="e">
        <f>BB30</f>
        <v>#VALUE!</v>
      </c>
      <c r="BB19" s="39"/>
      <c r="BE19" s="36"/>
      <c r="BX19" s="43" t="e">
        <f>BX18/2</f>
        <v>#VALUE!</v>
      </c>
      <c r="BY19" s="34" t="e">
        <f>TEXT(BX19, "$#,###,###")</f>
        <v>#VALUE!</v>
      </c>
      <c r="BZ19" s="34" t="e">
        <f>IF($N$29=7,1,0)</f>
        <v>#VALUE!</v>
      </c>
      <c r="CA19" s="36" t="e">
        <f>CONCATENATE(Identification!$B$1&amp;" purchased an annual insurance policy on October 1 for "&amp;BY19&amp;".  On October 1, the policy was initially recorded as prepaid insurance.")</f>
        <v>#VALUE!</v>
      </c>
      <c r="CW19" s="37" t="e">
        <f>70000*CZ19</f>
        <v>#VALUE!</v>
      </c>
      <c r="CX19" s="35">
        <v>45000</v>
      </c>
      <c r="CY19" s="34" t="str">
        <f>TEXT(CX19, "$#,###,###")</f>
        <v>$45,000</v>
      </c>
      <c r="CZ19" s="34" t="e">
        <f>IF($N$29=7,1,0)</f>
        <v>#VALUE!</v>
      </c>
      <c r="DA19" s="36" t="str">
        <f>CONCATENATE("The company began the year with $40,000 of supplies inventory, purchased an additional $75,000 (which was recored as Supplies), and ended the year with "&amp;CY19&amp;".")</f>
        <v>The company began the year with $40,000 of supplies inventory, purchased an additional $75,000 (which was recored as Supplies), and ended the year with $45,000.</v>
      </c>
    </row>
    <row r="20" spans="1:108" s="34" customFormat="1" ht="24" customHeight="1">
      <c r="A20" s="19" t="s">
        <v>0</v>
      </c>
      <c r="B20" s="19" t="s">
        <v>1</v>
      </c>
      <c r="C20" s="19"/>
      <c r="D20" s="19" t="s">
        <v>2</v>
      </c>
      <c r="E20" s="19"/>
      <c r="F20" s="19" t="s">
        <v>3</v>
      </c>
      <c r="K20" s="34" t="s">
        <v>25</v>
      </c>
      <c r="L20" s="34" t="e">
        <f>IF($N$29&gt;7,1,0)</f>
        <v>#VALUE!</v>
      </c>
      <c r="M20" s="35" t="e">
        <f>ROUND(Z36,0)</f>
        <v>#VALUE!</v>
      </c>
      <c r="P20" s="36" t="e">
        <f>CONCATENATE(Identification!$B$1&amp;" Company purchased paintings having a gross cost of "&amp;Z36&amp;" on account.")</f>
        <v>#VALUE!</v>
      </c>
      <c r="Z20" s="37" t="e">
        <f>AA20*AB20</f>
        <v>#VALUE!</v>
      </c>
      <c r="AA20" s="34" t="e">
        <f>IF($N$29&gt;7,1,0)</f>
        <v>#VALUE!</v>
      </c>
      <c r="AB20" s="35" t="e">
        <f>ROUND($T$10/11,0)</f>
        <v>#VALUE!</v>
      </c>
      <c r="AC20" s="34" t="e">
        <f>TEXT(AB20, "$#,###,###")</f>
        <v>#VALUE!</v>
      </c>
      <c r="AD20" s="38" t="e">
        <f t="shared" si="8"/>
        <v>#VALUE!</v>
      </c>
      <c r="AE20" s="36" t="e">
        <f>CONCATENATE("During the current year merchandise with a gross cost of "&amp;AC20&amp;" was returned to suppliers for full credit on account.")</f>
        <v>#VALUE!</v>
      </c>
      <c r="AW20" s="37" t="e">
        <f>BB31</f>
        <v>#VALUE!</v>
      </c>
      <c r="BB20" s="39"/>
      <c r="BE20" s="36"/>
      <c r="BX20" s="35" t="e">
        <f>BX18*1.6</f>
        <v>#VALUE!</v>
      </c>
      <c r="BY20" s="34" t="e">
        <f>TEXT(BX20, "$#,###,###")</f>
        <v>#VALUE!</v>
      </c>
      <c r="BZ20" s="34" t="e">
        <f>IF($N$29&gt;7,1,0)</f>
        <v>#VALUE!</v>
      </c>
      <c r="CA20" s="36" t="e">
        <f>CONCATENATE(Identification!$B$1&amp;" purchased an annual insurance policy on October 1 for "&amp;BY20&amp;".  On October 1, the policy was initially recorded as insurance expense.")</f>
        <v>#VALUE!</v>
      </c>
      <c r="CW20" s="37" t="e">
        <f>65000*CZ20</f>
        <v>#VALUE!</v>
      </c>
      <c r="CX20" s="35">
        <v>50000</v>
      </c>
      <c r="CY20" s="34" t="str">
        <f>TEXT(CX20, "$#,###,###")</f>
        <v>$50,000</v>
      </c>
      <c r="CZ20" s="34" t="e">
        <f>IF($N$29&gt;7,1,0)</f>
        <v>#VALUE!</v>
      </c>
      <c r="DA20" s="36" t="str">
        <f>CONCATENATE("The company began the year with $40,000 of supplies inventory, purchased an additional $75,000 (which was recored as Supplies), and ended the year with "&amp;CY20&amp;".")</f>
        <v>The company began the year with $40,000 of supplies inventory, purchased an additional $75,000 (which was recored as Supplies), and ended the year with $50,000.</v>
      </c>
    </row>
    <row r="21" spans="1:108" s="34" customFormat="1" ht="24" customHeight="1">
      <c r="A21" s="20" t="s">
        <v>6</v>
      </c>
      <c r="B21" s="27"/>
      <c r="C21" s="21" t="e">
        <f>IF($I$23=1,$K$5,"")</f>
        <v>#VALUE!</v>
      </c>
      <c r="D21" s="32">
        <v>0</v>
      </c>
      <c r="E21" s="21"/>
      <c r="F21" s="22"/>
      <c r="H21" s="18">
        <f>IF(B21="Accounts Payable",1,0)</f>
        <v>0</v>
      </c>
      <c r="I21" s="18" t="e">
        <f>IF(D21=AY32,1,0)</f>
        <v>#VALUE!</v>
      </c>
      <c r="K21" s="34">
        <v>0</v>
      </c>
      <c r="W21" s="34" t="e">
        <f>TEXT(X21, "$#,###,###")</f>
        <v>#VALUE!</v>
      </c>
      <c r="X21" s="44" t="e">
        <f>ROUND(Y21,0)</f>
        <v>#VALUE!</v>
      </c>
      <c r="Y21" s="37" t="e">
        <f>Z21/4.5</f>
        <v>#VALUE!</v>
      </c>
      <c r="Z21" s="37" t="e">
        <f>SUM(Z2:Z20)</f>
        <v>#VALUE!</v>
      </c>
      <c r="AE21" s="36" t="str">
        <f>CONCATENATE("During the current year merchandise with a gross cost of "&amp;AC21&amp;" was returned to suppliers for full credit on account.")</f>
        <v>During the current year merchandise with a gross cost of  was returned to suppliers for full credit on account.</v>
      </c>
      <c r="AY21" s="38" t="e">
        <f>BA21*BD21</f>
        <v>#VALUE!</v>
      </c>
      <c r="AZ21" s="37" t="e">
        <f>BA21*BB21</f>
        <v>#VALUE!</v>
      </c>
      <c r="BA21" s="34" t="e">
        <f>IF($N$29=5,1,0)</f>
        <v>#VALUE!</v>
      </c>
      <c r="BB21" s="35" t="e">
        <f>ROUND(V36/3,0)</f>
        <v>#VALUE!</v>
      </c>
      <c r="BC21" s="34" t="e">
        <f>TEXT(BB21, "$#,###,###")</f>
        <v>#VALUE!</v>
      </c>
      <c r="BD21" s="38" t="e">
        <f>BB21</f>
        <v>#VALUE!</v>
      </c>
      <c r="BE21" s="36" t="e">
        <f>CONCATENATE("Selected inventory was found to have minor defects for which suppliers granted gross price reductions of "&amp;BC21&amp;".")</f>
        <v>#VALUE!</v>
      </c>
      <c r="CW21" s="37" t="e">
        <f>SUM(CW2:CW20)</f>
        <v>#VALUE!</v>
      </c>
    </row>
    <row r="22" spans="1:108" s="34" customFormat="1" ht="24" customHeight="1">
      <c r="A22" s="23"/>
      <c r="B22" s="28" t="s">
        <v>34</v>
      </c>
      <c r="C22" s="21" t="e">
        <f>C21</f>
        <v>#VALUE!</v>
      </c>
      <c r="D22" s="24"/>
      <c r="E22" s="21"/>
      <c r="F22" s="42">
        <f>D21</f>
        <v>0</v>
      </c>
      <c r="H22" s="18">
        <f>IF(B22="Purchase Returns &amp; Allowances",1,0)</f>
        <v>1</v>
      </c>
      <c r="K22" s="38" t="e">
        <f>BD12*(1-$H$2)</f>
        <v>#VALUE!</v>
      </c>
      <c r="W22" s="34" t="e">
        <f>TEXT(X22, "$#,###,###")</f>
        <v>#VALUE!</v>
      </c>
      <c r="X22" s="44" t="e">
        <f>ROUND(Y22,0)</f>
        <v>#VALUE!</v>
      </c>
      <c r="Y22" s="37" t="e">
        <f>Z22/4.5</f>
        <v>#VALUE!</v>
      </c>
      <c r="Z22" s="38" t="e">
        <f>Z21*0.4</f>
        <v>#VALUE!</v>
      </c>
      <c r="BB22" s="39"/>
      <c r="BE22" s="36"/>
      <c r="CX22" s="39"/>
    </row>
    <row r="23" spans="1:108" s="34" customFormat="1" ht="24" customHeight="1">
      <c r="A23" s="23"/>
      <c r="B23" s="25" t="s">
        <v>37</v>
      </c>
      <c r="C23" s="25"/>
      <c r="D23" s="26"/>
      <c r="E23" s="26"/>
      <c r="F23" s="26"/>
      <c r="I23" s="34" t="e">
        <f>H21*H22*I21</f>
        <v>#VALUE!</v>
      </c>
      <c r="K23" s="38" t="e">
        <f>BD14*(1-$H$2)</f>
        <v>#VALUE!</v>
      </c>
      <c r="AB23" s="34">
        <v>0</v>
      </c>
      <c r="AC23" s="38">
        <f>ROUND(AB23,0)</f>
        <v>0</v>
      </c>
      <c r="BB23" s="39"/>
      <c r="BE23" s="36"/>
      <c r="CX23" s="39"/>
    </row>
    <row r="24" spans="1:108" s="34" customFormat="1" ht="60.75" customHeight="1">
      <c r="A24" s="50" t="s">
        <v>16</v>
      </c>
      <c r="B24" s="50" t="e">
        <f>CONCATENATE("Paid suppliers for gross purchases of "&amp;M32&amp;" on which the discount was missed.")</f>
        <v>#VALUE!</v>
      </c>
      <c r="C24" s="50"/>
      <c r="K24" s="38" t="e">
        <f>BD21*(1-$H$2)</f>
        <v>#VALUE!</v>
      </c>
      <c r="AB24" s="38" t="e">
        <f>AB20/4.5</f>
        <v>#VALUE!</v>
      </c>
      <c r="AC24" s="38" t="e">
        <f>ROUND(AB24,0)</f>
        <v>#VALUE!</v>
      </c>
      <c r="BB24" s="39"/>
      <c r="BE24" s="36"/>
      <c r="CX24" s="39"/>
    </row>
    <row r="25" spans="1:108" s="34" customFormat="1" ht="24" customHeight="1">
      <c r="A25" s="16" t="s">
        <v>7</v>
      </c>
      <c r="B25" s="16"/>
      <c r="C25" s="16"/>
      <c r="D25" s="16"/>
      <c r="E25" s="16"/>
      <c r="F25" s="17" t="s">
        <v>6</v>
      </c>
      <c r="K25" s="38" t="e">
        <f>BD29*(1-$H$2)</f>
        <v>#VALUE!</v>
      </c>
      <c r="AB25" s="38" t="e">
        <f>AB19/4.5</f>
        <v>#VALUE!</v>
      </c>
      <c r="AC25" s="38" t="e">
        <f t="shared" ref="AC25:AC30" si="9">ROUND(AB25,0)</f>
        <v>#VALUE!</v>
      </c>
      <c r="BB25" s="39"/>
      <c r="BE25" s="36"/>
      <c r="CX25" s="39"/>
    </row>
    <row r="26" spans="1:108" ht="24" customHeight="1">
      <c r="A26" s="19" t="s">
        <v>0</v>
      </c>
      <c r="B26" s="19" t="s">
        <v>1</v>
      </c>
      <c r="C26" s="19"/>
      <c r="D26" s="19" t="s">
        <v>2</v>
      </c>
      <c r="E26" s="19"/>
      <c r="F26" s="19" t="s">
        <v>3</v>
      </c>
      <c r="G26" s="34"/>
      <c r="H26" s="8"/>
      <c r="K26" s="33" t="e">
        <f>BD30*(1-$H$2)</f>
        <v>#VALUE!</v>
      </c>
      <c r="AB26" s="45" t="e">
        <f>AB18/4.5</f>
        <v>#VALUE!</v>
      </c>
      <c r="AC26" s="38" t="e">
        <f t="shared" si="9"/>
        <v>#VALUE!</v>
      </c>
      <c r="BA26" s="34"/>
      <c r="BB26" s="39"/>
      <c r="BC26" s="34"/>
      <c r="BD26" s="34"/>
      <c r="BE26" s="36"/>
      <c r="BF26" s="34"/>
      <c r="CX26" s="39"/>
      <c r="CY26" s="34"/>
      <c r="CZ26" s="34"/>
      <c r="DA26" s="34"/>
      <c r="DB26" s="34"/>
      <c r="DC26" s="34"/>
      <c r="DD26" s="34"/>
    </row>
    <row r="27" spans="1:108" s="49" customFormat="1" ht="24" customHeight="1">
      <c r="A27" s="20" t="s">
        <v>6</v>
      </c>
      <c r="B27" s="27"/>
      <c r="C27" s="21" t="e">
        <f>IF($I$30=1,$K$5,"")</f>
        <v>#VALUE!</v>
      </c>
      <c r="D27" s="42">
        <f>F29-D28</f>
        <v>0</v>
      </c>
      <c r="E27" s="21"/>
      <c r="F27" s="22"/>
      <c r="G27" s="34"/>
      <c r="H27" s="18">
        <f>IF(B27="Accounts Payable",1,0)</f>
        <v>0</v>
      </c>
      <c r="I27" s="18"/>
      <c r="K27" s="30" t="e">
        <f>BD31*(1-$H$2)</f>
        <v>#VALUE!</v>
      </c>
      <c r="M27" s="54" t="e">
        <f>ROUND($T$10/1.2,0)</f>
        <v>#VALUE!</v>
      </c>
      <c r="N27" s="55" t="e">
        <f>TEXT(M27, "$#,###,###")</f>
        <v>#VALUE!</v>
      </c>
      <c r="AB27" s="46" t="e">
        <f>AB11/4.5</f>
        <v>#VALUE!</v>
      </c>
      <c r="AC27" s="38" t="e">
        <f t="shared" si="9"/>
        <v>#VALUE!</v>
      </c>
      <c r="BA27" s="34"/>
      <c r="BB27" s="39"/>
      <c r="BC27" s="34"/>
      <c r="BD27" s="34"/>
      <c r="BE27" s="36"/>
      <c r="BF27" s="34"/>
      <c r="CX27" s="35">
        <f>CX20*2.2</f>
        <v>110000.00000000001</v>
      </c>
      <c r="CY27" s="34" t="str">
        <f>TEXT(CX27, "$#,###,###")</f>
        <v>$110,000</v>
      </c>
      <c r="CZ27" s="34" t="e">
        <f>IF($N$29=6,1,0)</f>
        <v>#VALUE!</v>
      </c>
      <c r="DA27" s="36" t="str">
        <f>CONCATENATE(Identification!$B$1&amp;" purchased an annual insurance policy on October 1 for "&amp;CY27&amp;".  On October 1, the policy was initially recorded as prepaid insurance.")</f>
        <v>Enter Name purchased an annual insurance policy on October 1 for $110,000.  On October 1, the policy was initially recorded as prepaid insurance.</v>
      </c>
      <c r="DB27" s="34"/>
      <c r="DC27" s="34"/>
      <c r="DD27" s="34"/>
    </row>
    <row r="28" spans="1:108" s="49" customFormat="1" ht="24" customHeight="1">
      <c r="A28" s="20"/>
      <c r="B28" s="27"/>
      <c r="C28" s="21" t="e">
        <f>C27</f>
        <v>#VALUE!</v>
      </c>
      <c r="D28" s="32">
        <v>0</v>
      </c>
      <c r="E28" s="21"/>
      <c r="F28" s="42"/>
      <c r="G28" s="34"/>
      <c r="H28" s="18">
        <f>IF(B28="Purchase Discounts Lost",1,0)</f>
        <v>0</v>
      </c>
      <c r="I28" s="18" t="e">
        <f>IF(D28=K29,1,0)</f>
        <v>#VALUE!</v>
      </c>
      <c r="K28" s="30"/>
      <c r="M28" s="65" t="e">
        <f>M27*(1-$H$2)</f>
        <v>#VALUE!</v>
      </c>
      <c r="N28" s="55"/>
      <c r="AB28" s="46"/>
      <c r="AC28" s="38"/>
      <c r="BA28" s="34"/>
      <c r="BB28" s="39"/>
      <c r="BC28" s="34"/>
      <c r="BD28" s="34"/>
      <c r="BE28" s="36"/>
      <c r="BF28" s="34"/>
      <c r="CX28" s="35"/>
      <c r="CY28" s="34"/>
      <c r="CZ28" s="34"/>
      <c r="DA28" s="36"/>
      <c r="DB28" s="34"/>
      <c r="DC28" s="34"/>
      <c r="DD28" s="34"/>
    </row>
    <row r="29" spans="1:108" s="49" customFormat="1" ht="24" customHeight="1">
      <c r="A29" s="23"/>
      <c r="B29" s="28" t="s">
        <v>18</v>
      </c>
      <c r="C29" s="21" t="e">
        <f>C27</f>
        <v>#VALUE!</v>
      </c>
      <c r="D29" s="24"/>
      <c r="E29" s="21"/>
      <c r="F29" s="32">
        <v>0</v>
      </c>
      <c r="G29" s="34"/>
      <c r="H29" s="18">
        <f>IF(B29="Cash",1,0)</f>
        <v>1</v>
      </c>
      <c r="I29" s="18" t="e">
        <f>IF(F29=K32,1,0)</f>
        <v>#VALUE!</v>
      </c>
      <c r="K29" s="30" t="e">
        <f>M32*$H$2</f>
        <v>#VALUE!</v>
      </c>
      <c r="M29" s="56" t="e">
        <f>N27*H2</f>
        <v>#VALUE!</v>
      </c>
      <c r="N29" s="57" t="e">
        <f>Identification!C71</f>
        <v>#VALUE!</v>
      </c>
      <c r="O29" s="13" t="e">
        <f>Identification!D71*1.5</f>
        <v>#VALUE!</v>
      </c>
      <c r="P29" s="13" t="e">
        <f>Identification!E71*1.5</f>
        <v>#VALUE!</v>
      </c>
      <c r="Q29" s="13" t="e">
        <f>Identification!F71*1.5</f>
        <v>#VALUE!</v>
      </c>
      <c r="R29" s="13" t="e">
        <f>Identification!G71*1.5</f>
        <v>#VALUE!</v>
      </c>
      <c r="S29" s="13" t="e">
        <f>Identification!H71*1.5</f>
        <v>#VALUE!</v>
      </c>
      <c r="T29" s="13"/>
      <c r="U29" s="31" t="e">
        <f>N29*N30</f>
        <v>#VALUE!</v>
      </c>
      <c r="V29" s="31" t="e">
        <f t="shared" ref="V29:W36" si="10">O29*O30</f>
        <v>#VALUE!</v>
      </c>
      <c r="W29" s="31" t="e">
        <f t="shared" si="10"/>
        <v>#VALUE!</v>
      </c>
      <c r="X29" s="14" t="e">
        <f>TEXT(U29, "$#,###,###")</f>
        <v>#VALUE!</v>
      </c>
      <c r="Y29" s="14" t="e">
        <f t="shared" ref="Y29:Z36" si="11">TEXT(V29, "$#,###,###")</f>
        <v>#VALUE!</v>
      </c>
      <c r="Z29" s="14" t="e">
        <f t="shared" si="11"/>
        <v>#VALUE!</v>
      </c>
      <c r="AA29" s="14"/>
      <c r="AB29" s="30" t="e">
        <f>AB4/4.5</f>
        <v>#VALUE!</v>
      </c>
      <c r="AC29" s="38" t="e">
        <f t="shared" si="9"/>
        <v>#VALUE!</v>
      </c>
      <c r="AY29" s="38" t="e">
        <f>BA29*BD29</f>
        <v>#VALUE!</v>
      </c>
      <c r="AZ29" s="37" t="e">
        <f>BA29*BB29</f>
        <v>#VALUE!</v>
      </c>
      <c r="BA29" s="34" t="e">
        <f>IF($N$29=6,1,0)</f>
        <v>#VALUE!</v>
      </c>
      <c r="BB29" s="35" t="e">
        <f>ROUND(V34/8,0)</f>
        <v>#VALUE!</v>
      </c>
      <c r="BC29" s="34" t="e">
        <f>TEXT(BB29, "$#,###,###")</f>
        <v>#VALUE!</v>
      </c>
      <c r="BD29" s="38" t="e">
        <f>BB29</f>
        <v>#VALUE!</v>
      </c>
      <c r="BE29" s="36" t="e">
        <f>CONCATENATE("Selected inventory was found to have minor defects for which suppliers granted gross price reductions of "&amp;BC29&amp;".")</f>
        <v>#VALUE!</v>
      </c>
      <c r="BF29" s="34"/>
      <c r="CX29" s="43">
        <f>CX27/2</f>
        <v>55000.000000000007</v>
      </c>
      <c r="CY29" s="34" t="str">
        <f>TEXT(CX29, "$#,###,###")</f>
        <v>$55,000</v>
      </c>
      <c r="CZ29" s="34" t="e">
        <f>IF($N$29=7,1,0)</f>
        <v>#VALUE!</v>
      </c>
      <c r="DA29" s="36" t="str">
        <f>CONCATENATE(Identification!$B$1&amp;" purchased an annual insurance policy on October 1 for "&amp;CY29&amp;".  On October 1, the policy was initially recorded as prepaid insurance.")</f>
        <v>Enter Name purchased an annual insurance policy on October 1 for $55,000.  On October 1, the policy was initially recorded as prepaid insurance.</v>
      </c>
      <c r="DB29" s="34"/>
      <c r="DC29" s="34"/>
      <c r="DD29" s="34"/>
    </row>
    <row r="30" spans="1:108" s="49" customFormat="1" ht="34.5" customHeight="1">
      <c r="A30" s="23"/>
      <c r="B30" s="25" t="e">
        <f>CONCATENATE("Paid outstanding payables of "&amp;M32&amp;" on which a discount of "&amp;K30&amp;" was lost ("&amp;I3&amp;"% X "&amp;M32&amp;"). ")</f>
        <v>#VALUE!</v>
      </c>
      <c r="C30" s="25"/>
      <c r="D30" s="26"/>
      <c r="E30" s="26"/>
      <c r="F30" s="26"/>
      <c r="G30" s="34"/>
      <c r="H30" s="34"/>
      <c r="I30" s="34" t="e">
        <f>H27*H29*H28*I28*I29</f>
        <v>#VALUE!</v>
      </c>
      <c r="K30" s="49" t="e">
        <f>TEXT(K29, "$#,###,###.##")</f>
        <v>#VALUE!</v>
      </c>
      <c r="M30" s="58" t="e">
        <f>ROUND($M$29,0)</f>
        <v>#VALUE!</v>
      </c>
      <c r="N30" s="57" t="e">
        <f>Identification!C72</f>
        <v>#VALUE!</v>
      </c>
      <c r="O30" s="13" t="e">
        <f>Identification!D72*1.5</f>
        <v>#VALUE!</v>
      </c>
      <c r="P30" s="13" t="e">
        <f>Identification!E72*1.5</f>
        <v>#VALUE!</v>
      </c>
      <c r="Q30" s="13" t="e">
        <f>Identification!F72*1.5</f>
        <v>#VALUE!</v>
      </c>
      <c r="R30" s="13" t="e">
        <f>Identification!G72*1.5</f>
        <v>#VALUE!</v>
      </c>
      <c r="S30" s="13" t="e">
        <f>Identification!H72*1.5</f>
        <v>#VALUE!</v>
      </c>
      <c r="T30" s="13"/>
      <c r="U30" s="31" t="e">
        <f t="shared" ref="U30:U36" si="12">N30*N31</f>
        <v>#VALUE!</v>
      </c>
      <c r="V30" s="31" t="e">
        <f t="shared" si="10"/>
        <v>#VALUE!</v>
      </c>
      <c r="W30" s="31" t="e">
        <f t="shared" si="10"/>
        <v>#VALUE!</v>
      </c>
      <c r="X30" s="14" t="e">
        <f t="shared" ref="X30:X36" si="13">TEXT(U30, "$#,###,###")</f>
        <v>#VALUE!</v>
      </c>
      <c r="Y30" s="14" t="e">
        <f t="shared" si="11"/>
        <v>#VALUE!</v>
      </c>
      <c r="Z30" s="14" t="e">
        <f t="shared" si="11"/>
        <v>#VALUE!</v>
      </c>
      <c r="AA30" s="14"/>
      <c r="AB30" s="30" t="e">
        <f>AB2/4.65</f>
        <v>#VALUE!</v>
      </c>
      <c r="AC30" s="38" t="e">
        <f t="shared" si="9"/>
        <v>#VALUE!</v>
      </c>
      <c r="AY30" s="38" t="e">
        <f>BA30*BD30</f>
        <v>#VALUE!</v>
      </c>
      <c r="AZ30" s="37" t="e">
        <f>BA30*BB30</f>
        <v>#VALUE!</v>
      </c>
      <c r="BA30" s="34" t="e">
        <f>IF($N$29=7,1,0)</f>
        <v>#VALUE!</v>
      </c>
      <c r="BB30" s="35" t="e">
        <f>ROUND(V35/60,0)</f>
        <v>#VALUE!</v>
      </c>
      <c r="BC30" s="34" t="e">
        <f>TEXT(BB30, "$#,###,###")</f>
        <v>#VALUE!</v>
      </c>
      <c r="BD30" s="38" t="e">
        <f>BB30</f>
        <v>#VALUE!</v>
      </c>
      <c r="BE30" s="36" t="e">
        <f>CONCATENATE("Selected inventory was found to have minor defects for which suppliers granted gross price reductions of "&amp;BC30&amp;".")</f>
        <v>#VALUE!</v>
      </c>
      <c r="BF30" s="34"/>
      <c r="CX30" s="35">
        <f>CX27*1.6</f>
        <v>176000.00000000003</v>
      </c>
      <c r="CY30" s="34" t="str">
        <f>TEXT(CX30, "$#,###,###")</f>
        <v>$176,000</v>
      </c>
      <c r="CZ30" s="34" t="e">
        <f>IF($N$29&gt;7,1,0)</f>
        <v>#VALUE!</v>
      </c>
      <c r="DA30" s="36" t="str">
        <f>CONCATENATE(Identification!$B$1&amp;" purchased an annual insurance policy on October 1 for "&amp;CY30&amp;".  On October 1, the policy was initially recorded as insurance expense.")</f>
        <v>Enter Name purchased an annual insurance policy on October 1 for $176,000.  On October 1, the policy was initially recorded as insurance expense.</v>
      </c>
      <c r="DB30" s="34"/>
      <c r="DC30" s="34"/>
      <c r="DD30" s="34"/>
    </row>
    <row r="31" spans="1:108" s="49" customFormat="1" ht="18" customHeight="1">
      <c r="A31" s="8"/>
      <c r="B31" s="8"/>
      <c r="C31" s="8"/>
      <c r="D31" s="12"/>
      <c r="E31" s="8"/>
      <c r="F31" s="11"/>
      <c r="G31" s="8"/>
      <c r="H31" s="8"/>
      <c r="M31" s="55" t="e">
        <f>TEXT(M30, "#,###,###")</f>
        <v>#VALUE!</v>
      </c>
      <c r="N31" s="57" t="e">
        <f>Identification!C73</f>
        <v>#VALUE!</v>
      </c>
      <c r="O31" s="13" t="e">
        <f>Identification!D73*1.5</f>
        <v>#VALUE!</v>
      </c>
      <c r="P31" s="13" t="e">
        <f>Identification!E73*1.5</f>
        <v>#VALUE!</v>
      </c>
      <c r="Q31" s="13" t="e">
        <f>Identification!F73*1.5</f>
        <v>#VALUE!</v>
      </c>
      <c r="R31" s="13" t="e">
        <f>Identification!G73*1.5</f>
        <v>#VALUE!</v>
      </c>
      <c r="S31" s="13" t="e">
        <f>Identification!H73*1.5</f>
        <v>#VALUE!</v>
      </c>
      <c r="T31" s="13"/>
      <c r="U31" s="31" t="e">
        <f t="shared" si="12"/>
        <v>#VALUE!</v>
      </c>
      <c r="V31" s="31" t="e">
        <f t="shared" si="10"/>
        <v>#VALUE!</v>
      </c>
      <c r="W31" s="31" t="e">
        <f t="shared" si="10"/>
        <v>#VALUE!</v>
      </c>
      <c r="X31" s="14" t="e">
        <f t="shared" si="13"/>
        <v>#VALUE!</v>
      </c>
      <c r="Y31" s="14" t="e">
        <f t="shared" si="11"/>
        <v>#VALUE!</v>
      </c>
      <c r="Z31" s="14" t="e">
        <f t="shared" si="11"/>
        <v>#VALUE!</v>
      </c>
      <c r="AA31" s="14"/>
      <c r="AY31" s="38" t="e">
        <f>BA31*BD31</f>
        <v>#VALUE!</v>
      </c>
      <c r="AZ31" s="37" t="e">
        <f>BA31*BB31</f>
        <v>#VALUE!</v>
      </c>
      <c r="BA31" s="34" t="e">
        <f>IF($N$29&gt;7,1,0)</f>
        <v>#VALUE!</v>
      </c>
      <c r="BB31" s="35" t="e">
        <f>ROUND(V36/4,0)</f>
        <v>#VALUE!</v>
      </c>
      <c r="BC31" s="34" t="e">
        <f>TEXT(BB31, "$#,###,###")</f>
        <v>#VALUE!</v>
      </c>
      <c r="BD31" s="38" t="e">
        <f>BB31</f>
        <v>#VALUE!</v>
      </c>
      <c r="BE31" s="36" t="e">
        <f>CONCATENATE("Selected inventory was found to have minor defects for which suppliers granted gross price reductions of "&amp;BC31&amp;".")</f>
        <v>#VALUE!</v>
      </c>
      <c r="BF31" s="34"/>
      <c r="CX31" s="34"/>
      <c r="CY31" s="34"/>
      <c r="CZ31" s="34"/>
      <c r="DA31" s="34"/>
      <c r="DB31" s="34"/>
      <c r="DC31" s="34"/>
      <c r="DD31" s="34"/>
    </row>
    <row r="32" spans="1:108" s="49" customFormat="1" ht="72.75" customHeight="1">
      <c r="A32" s="50" t="s">
        <v>17</v>
      </c>
      <c r="B32" s="50" t="e">
        <f>CONCATENATE("Paid suppliers for gross purchases of "&amp;N27&amp;" on which the full discount was taken.")</f>
        <v>#VALUE!</v>
      </c>
      <c r="C32" s="50"/>
      <c r="D32" s="34"/>
      <c r="E32" s="34"/>
      <c r="F32" s="34"/>
      <c r="G32" s="8"/>
      <c r="H32" s="8"/>
      <c r="K32" s="30" t="e">
        <f>ROUND((T10-M27)/4,0)</f>
        <v>#VALUE!</v>
      </c>
      <c r="M32" s="55" t="e">
        <f>TEXT(K32, "$#,###,###")</f>
        <v>#VALUE!</v>
      </c>
      <c r="N32" s="13" t="e">
        <f>Identification!C74</f>
        <v>#VALUE!</v>
      </c>
      <c r="O32" s="13" t="e">
        <f>Identification!D74*1.5</f>
        <v>#VALUE!</v>
      </c>
      <c r="P32" s="13" t="e">
        <f>Identification!E74*1.5</f>
        <v>#VALUE!</v>
      </c>
      <c r="Q32" s="13" t="e">
        <f>Identification!F74*1.5</f>
        <v>#VALUE!</v>
      </c>
      <c r="R32" s="13" t="e">
        <f>Identification!G74*1.5</f>
        <v>#VALUE!</v>
      </c>
      <c r="S32" s="13" t="e">
        <f>Identification!H74*1.5</f>
        <v>#VALUE!</v>
      </c>
      <c r="T32" s="13"/>
      <c r="U32" s="31"/>
      <c r="V32" s="31"/>
      <c r="W32" s="31"/>
      <c r="X32" s="14" t="str">
        <f t="shared" si="13"/>
        <v>$</v>
      </c>
      <c r="Y32" s="14" t="str">
        <f t="shared" si="11"/>
        <v>$</v>
      </c>
      <c r="Z32" s="14" t="str">
        <f t="shared" si="11"/>
        <v>$</v>
      </c>
      <c r="AA32" s="14"/>
      <c r="AY32" s="14" t="e">
        <f>SUM(AY12:AY31)*(1-$H$2)</f>
        <v>#VALUE!</v>
      </c>
      <c r="AZ32" s="14" t="e">
        <f>SUM(AZ12:AZ31)</f>
        <v>#VALUE!</v>
      </c>
      <c r="BA32" s="34"/>
      <c r="BB32" s="34"/>
      <c r="BC32" s="34"/>
      <c r="BD32" s="34"/>
      <c r="BE32" s="34"/>
      <c r="BF32" s="34"/>
    </row>
    <row r="33" spans="1:27" s="49" customFormat="1" ht="24" customHeight="1">
      <c r="A33" s="16" t="s">
        <v>7</v>
      </c>
      <c r="B33" s="16"/>
      <c r="C33" s="16"/>
      <c r="D33" s="16"/>
      <c r="E33" s="16"/>
      <c r="F33" s="17" t="s">
        <v>6</v>
      </c>
      <c r="G33" s="8"/>
      <c r="H33" s="8"/>
      <c r="N33" s="13"/>
      <c r="U33" s="31"/>
      <c r="V33" s="31"/>
      <c r="W33" s="31"/>
      <c r="X33" s="14" t="str">
        <f t="shared" si="13"/>
        <v>$</v>
      </c>
      <c r="Y33" s="14" t="str">
        <f t="shared" si="11"/>
        <v>$</v>
      </c>
      <c r="Z33" s="14" t="str">
        <f t="shared" si="11"/>
        <v>$</v>
      </c>
      <c r="AA33" s="14"/>
    </row>
    <row r="34" spans="1:27" s="49" customFormat="1" ht="24" customHeight="1">
      <c r="A34" s="19" t="s">
        <v>0</v>
      </c>
      <c r="B34" s="19" t="s">
        <v>1</v>
      </c>
      <c r="C34" s="19"/>
      <c r="D34" s="19" t="s">
        <v>2</v>
      </c>
      <c r="E34" s="19"/>
      <c r="F34" s="19" t="s">
        <v>3</v>
      </c>
      <c r="G34" s="8"/>
      <c r="H34" s="8"/>
      <c r="N34" s="13" t="e">
        <f>N29*3</f>
        <v>#VALUE!</v>
      </c>
      <c r="O34" s="13" t="e">
        <f t="shared" ref="O34:S34" si="14">O29*3</f>
        <v>#VALUE!</v>
      </c>
      <c r="P34" s="13" t="e">
        <f t="shared" si="14"/>
        <v>#VALUE!</v>
      </c>
      <c r="Q34" s="13" t="e">
        <f t="shared" si="14"/>
        <v>#VALUE!</v>
      </c>
      <c r="R34" s="13" t="e">
        <f t="shared" si="14"/>
        <v>#VALUE!</v>
      </c>
      <c r="S34" s="13" t="e">
        <f t="shared" si="14"/>
        <v>#VALUE!</v>
      </c>
      <c r="U34" s="31" t="e">
        <f t="shared" si="12"/>
        <v>#VALUE!</v>
      </c>
      <c r="V34" s="31" t="e">
        <f t="shared" si="10"/>
        <v>#VALUE!</v>
      </c>
      <c r="W34" s="31" t="e">
        <f t="shared" si="10"/>
        <v>#VALUE!</v>
      </c>
      <c r="X34" s="14" t="e">
        <f t="shared" si="13"/>
        <v>#VALUE!</v>
      </c>
      <c r="Y34" s="14" t="e">
        <f t="shared" si="11"/>
        <v>#VALUE!</v>
      </c>
      <c r="Z34" s="14" t="e">
        <f t="shared" si="11"/>
        <v>#VALUE!</v>
      </c>
      <c r="AA34" s="14"/>
    </row>
    <row r="35" spans="1:27" s="49" customFormat="1" ht="24" customHeight="1">
      <c r="A35" s="20" t="s">
        <v>14</v>
      </c>
      <c r="B35" s="27" t="s">
        <v>31</v>
      </c>
      <c r="C35" s="21" t="e">
        <f>IF($I$37=1,$K$5,"")</f>
        <v>#VALUE!</v>
      </c>
      <c r="D35" s="32">
        <v>0</v>
      </c>
      <c r="E35" s="21"/>
      <c r="F35" s="22"/>
      <c r="G35" s="8"/>
      <c r="H35" s="18">
        <f>IF(B35="Accounts Payable",1,0)</f>
        <v>1</v>
      </c>
      <c r="I35" s="18" t="e">
        <f>IF(D35=M28,1,0)</f>
        <v>#VALUE!</v>
      </c>
      <c r="N35" s="13" t="e">
        <f t="shared" ref="N35:S37" si="15">N30*3</f>
        <v>#VALUE!</v>
      </c>
      <c r="O35" s="13" t="e">
        <f t="shared" si="15"/>
        <v>#VALUE!</v>
      </c>
      <c r="P35" s="13" t="e">
        <f t="shared" si="15"/>
        <v>#VALUE!</v>
      </c>
      <c r="Q35" s="13" t="e">
        <f t="shared" si="15"/>
        <v>#VALUE!</v>
      </c>
      <c r="R35" s="13" t="e">
        <f t="shared" si="15"/>
        <v>#VALUE!</v>
      </c>
      <c r="S35" s="13" t="e">
        <f t="shared" si="15"/>
        <v>#VALUE!</v>
      </c>
      <c r="U35" s="31" t="e">
        <f t="shared" si="12"/>
        <v>#VALUE!</v>
      </c>
      <c r="V35" s="31" t="e">
        <f>O35*O36*10</f>
        <v>#VALUE!</v>
      </c>
      <c r="W35" s="31" t="e">
        <f t="shared" si="10"/>
        <v>#VALUE!</v>
      </c>
      <c r="X35" s="14" t="e">
        <f t="shared" si="13"/>
        <v>#VALUE!</v>
      </c>
      <c r="Y35" s="14" t="e">
        <f t="shared" si="11"/>
        <v>#VALUE!</v>
      </c>
      <c r="Z35" s="14" t="e">
        <f t="shared" si="11"/>
        <v>#VALUE!</v>
      </c>
      <c r="AA35" s="14"/>
    </row>
    <row r="36" spans="1:27" s="49" customFormat="1" ht="24" customHeight="1">
      <c r="A36" s="23"/>
      <c r="B36" s="28" t="s">
        <v>18</v>
      </c>
      <c r="C36" s="21" t="e">
        <f>C35</f>
        <v>#VALUE!</v>
      </c>
      <c r="D36" s="24"/>
      <c r="E36" s="21"/>
      <c r="F36" s="42">
        <f>D35</f>
        <v>0</v>
      </c>
      <c r="G36" s="8"/>
      <c r="H36" s="18">
        <f>IF(B36="Cash",1,0)</f>
        <v>1</v>
      </c>
      <c r="I36" s="34"/>
      <c r="N36" s="13" t="e">
        <f t="shared" si="15"/>
        <v>#VALUE!</v>
      </c>
      <c r="O36" s="13" t="e">
        <f t="shared" si="15"/>
        <v>#VALUE!</v>
      </c>
      <c r="P36" s="13" t="e">
        <f t="shared" si="15"/>
        <v>#VALUE!</v>
      </c>
      <c r="Q36" s="13" t="e">
        <f t="shared" si="15"/>
        <v>#VALUE!</v>
      </c>
      <c r="R36" s="13" t="e">
        <f t="shared" si="15"/>
        <v>#VALUE!</v>
      </c>
      <c r="S36" s="13" t="e">
        <f t="shared" si="15"/>
        <v>#VALUE!</v>
      </c>
      <c r="U36" s="31" t="e">
        <f t="shared" si="12"/>
        <v>#VALUE!</v>
      </c>
      <c r="V36" s="31" t="e">
        <f t="shared" si="10"/>
        <v>#VALUE!</v>
      </c>
      <c r="W36" s="31" t="e">
        <f t="shared" si="10"/>
        <v>#VALUE!</v>
      </c>
      <c r="X36" s="14" t="e">
        <f t="shared" si="13"/>
        <v>#VALUE!</v>
      </c>
      <c r="Y36" s="14" t="e">
        <f t="shared" si="11"/>
        <v>#VALUE!</v>
      </c>
      <c r="Z36" s="14" t="e">
        <f t="shared" si="11"/>
        <v>#VALUE!</v>
      </c>
      <c r="AA36" s="14"/>
    </row>
    <row r="37" spans="1:27" s="49" customFormat="1" ht="24" customHeight="1">
      <c r="A37" s="23"/>
      <c r="B37" s="25" t="e">
        <f>CONCATENATE("Paid outstanding payables of "&amp;N27&amp;" on which the full discount was received. ")</f>
        <v>#VALUE!</v>
      </c>
      <c r="C37" s="25"/>
      <c r="D37" s="26"/>
      <c r="E37" s="26"/>
      <c r="F37" s="26"/>
      <c r="G37" s="8"/>
      <c r="H37" s="34"/>
      <c r="I37" s="34" t="e">
        <f>H35*H36*I35</f>
        <v>#VALUE!</v>
      </c>
      <c r="N37" s="13" t="e">
        <f t="shared" si="15"/>
        <v>#VALUE!</v>
      </c>
      <c r="O37" s="13" t="e">
        <f t="shared" si="15"/>
        <v>#VALUE!</v>
      </c>
      <c r="P37" s="13" t="e">
        <f t="shared" si="15"/>
        <v>#VALUE!</v>
      </c>
      <c r="Q37" s="13" t="e">
        <f t="shared" si="15"/>
        <v>#VALUE!</v>
      </c>
      <c r="R37" s="13" t="e">
        <f t="shared" si="15"/>
        <v>#VALUE!</v>
      </c>
      <c r="S37" s="13" t="e">
        <f t="shared" si="15"/>
        <v>#VALUE!</v>
      </c>
      <c r="U37" s="30"/>
      <c r="V37" s="30"/>
      <c r="W37" s="30"/>
    </row>
    <row r="38" spans="1:27" s="49" customFormat="1" ht="24" customHeight="1">
      <c r="A38" s="8"/>
      <c r="B38" s="8"/>
      <c r="C38" s="8"/>
      <c r="D38" s="12"/>
      <c r="E38" s="8"/>
      <c r="F38" s="11"/>
      <c r="G38" s="8"/>
      <c r="H38" s="8"/>
    </row>
    <row r="39" spans="1:27" hidden="1">
      <c r="A39" s="50"/>
      <c r="B39" s="34"/>
      <c r="C39" s="50"/>
      <c r="D39" s="34"/>
      <c r="E39" s="34"/>
      <c r="F39" s="34"/>
      <c r="G39" s="34"/>
    </row>
    <row r="40" spans="1:27" hidden="1">
      <c r="A40" s="50"/>
      <c r="B40" s="50"/>
      <c r="C40" s="50"/>
      <c r="D40" s="34"/>
      <c r="E40" s="34"/>
      <c r="F40" s="34"/>
      <c r="G40" s="34"/>
    </row>
    <row r="41" spans="1:27" hidden="1">
      <c r="A41" s="50"/>
      <c r="B41" s="50"/>
      <c r="C41" s="50"/>
      <c r="D41" s="34"/>
      <c r="E41" s="34"/>
      <c r="F41" s="34"/>
      <c r="G41" s="34"/>
    </row>
    <row r="42" spans="1:27" hidden="1">
      <c r="A42" s="50"/>
      <c r="B42" s="50"/>
      <c r="C42" s="50"/>
      <c r="D42" s="34"/>
      <c r="E42" s="34"/>
      <c r="F42" s="34"/>
      <c r="G42" s="34"/>
    </row>
    <row r="43" spans="1:27" hidden="1">
      <c r="A43" s="59"/>
      <c r="B43" s="59"/>
      <c r="C43" s="50"/>
      <c r="D43" s="34"/>
      <c r="E43" s="34"/>
      <c r="F43" s="34"/>
      <c r="G43" s="34"/>
    </row>
    <row r="44" spans="1:27" hidden="1">
      <c r="A44" s="60"/>
      <c r="B44" s="60"/>
      <c r="C44" s="60"/>
      <c r="D44" s="60"/>
      <c r="E44" s="60"/>
      <c r="F44" s="60"/>
      <c r="G44" s="60"/>
    </row>
    <row r="45" spans="1:27" hidden="1">
      <c r="A45" s="8"/>
      <c r="B45" s="50"/>
      <c r="C45" s="10"/>
      <c r="D45" s="11"/>
      <c r="E45" s="8"/>
      <c r="F45" s="8"/>
      <c r="G45" s="8"/>
    </row>
    <row r="46" spans="1:27" hidden="1"/>
    <row r="47" spans="1:27" hidden="1"/>
    <row r="48" spans="1:27" hidden="1"/>
    <row r="49" spans="16:16" hidden="1"/>
    <row r="50" spans="16:16" hidden="1">
      <c r="P50" s="34" t="s">
        <v>31</v>
      </c>
    </row>
    <row r="51" spans="16:16" hidden="1">
      <c r="P51" s="34" t="s">
        <v>19</v>
      </c>
    </row>
    <row r="52" spans="16:16" hidden="1">
      <c r="P52" s="34" t="s">
        <v>18</v>
      </c>
    </row>
    <row r="53" spans="16:16" hidden="1">
      <c r="P53" s="34" t="s">
        <v>30</v>
      </c>
    </row>
    <row r="54" spans="16:16" hidden="1">
      <c r="P54" s="34" t="s">
        <v>18</v>
      </c>
    </row>
    <row r="55" spans="16:16" hidden="1">
      <c r="P55" s="34" t="s">
        <v>32</v>
      </c>
    </row>
    <row r="56" spans="16:16" hidden="1">
      <c r="P56" s="34" t="s">
        <v>35</v>
      </c>
    </row>
    <row r="57" spans="16:16" hidden="1">
      <c r="P57" s="34" t="s">
        <v>33</v>
      </c>
    </row>
    <row r="58" spans="16:16" hidden="1">
      <c r="P58" s="34" t="s">
        <v>34</v>
      </c>
    </row>
    <row r="59" spans="16:16" hidden="1">
      <c r="P59" s="34"/>
    </row>
  </sheetData>
  <sheetProtection algorithmName="SHA-512" hashValue="YNuve+ZXUdorXKyGL8pPgCv2YM5CQl6uJds72ePx3VFnwkLEoBJM0DaIeFciLhfURDrKq6VrFX4lsVRyYLEZWg==" saltValue="XFJRtW6tH53y9r7Wi+OoeA==" spinCount="100000" sheet="1" objects="1" scenarios="1"/>
  <mergeCells count="5">
    <mergeCell ref="A2:F2"/>
    <mergeCell ref="A3:F3"/>
    <mergeCell ref="B4:F4"/>
    <mergeCell ref="A43:B43"/>
    <mergeCell ref="A44:G44"/>
  </mergeCells>
  <dataValidations count="7">
    <dataValidation type="list" allowBlank="1" showInputMessage="1" showErrorMessage="1" sqref="D35">
      <formula1>$W$11:$W$17</formula1>
    </dataValidation>
    <dataValidation type="list" allowBlank="1" showInputMessage="1" showErrorMessage="1" sqref="F29">
      <formula1>$X$3:$X$9</formula1>
    </dataValidation>
    <dataValidation type="list" allowBlank="1" showInputMessage="1" showErrorMessage="1" sqref="D28">
      <formula1>$Y$3:$Y$9</formula1>
    </dataValidation>
    <dataValidation type="list" allowBlank="1" showInputMessage="1" showErrorMessage="1" sqref="D21">
      <formula1>$K$21:$K$27</formula1>
    </dataValidation>
    <dataValidation type="list" allowBlank="1" showInputMessage="1" showErrorMessage="1" sqref="D7">
      <formula1>$S$3:$S$9</formula1>
    </dataValidation>
    <dataValidation type="list" allowBlank="1" showInputMessage="1" showErrorMessage="1" sqref="D14">
      <formula1>$S$11:$S$17</formula1>
    </dataValidation>
    <dataValidation type="list" allowBlank="1" showInputMessage="1" showErrorMessage="1" sqref="B7:B8 B14:B15 B21:B22 B27:B29 B35:B36">
      <formula1 xml:space="preserve"> accounts</formula1>
    </dataValidation>
  </dataValidations>
  <pageMargins left="0.75" right="0.75" top="1.75" bottom="1" header="0.75" footer="0.5"/>
  <pageSetup orientation="portrait" r:id="rId1"/>
  <headerFooter alignWithMargins="0">
    <oddHeader>&amp;R&amp;"Myriad Web Pro,Bold"&amp;20I-02.04</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Identification</vt:lpstr>
      <vt:lpstr> Problem (gross method)</vt:lpstr>
      <vt:lpstr> Problem (net method)</vt:lpstr>
      <vt:lpstr>' Problem (net method)'!accounts</vt:lpstr>
      <vt:lpstr>accounts</vt:lpstr>
    </vt:vector>
  </TitlesOfParts>
  <Company>UTA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Larry Walther</cp:lastModifiedBy>
  <cp:lastPrinted>2013-03-26T15:10:11Z</cp:lastPrinted>
  <dcterms:created xsi:type="dcterms:W3CDTF">2007-01-29T16:43:50Z</dcterms:created>
  <dcterms:modified xsi:type="dcterms:W3CDTF">2016-09-07T20:31:15Z</dcterms:modified>
</cp:coreProperties>
</file>