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lmwal_000\Desktop\"/>
    </mc:Choice>
  </mc:AlternateContent>
  <workbookProtection workbookAlgorithmName="SHA-512" workbookHashValue="PbdiPybb5jhYMpwOoH0KGsdRN6s6QDulAiGBklGCVayA5EQ/FD+jQjalxAel8xIICchMgXbki59nrUc/ApQbtQ==" workbookSaltValue="KpsmZcvJpDN+6qKDwSEbgw==" workbookSpinCount="100000" lockStructure="1"/>
  <bookViews>
    <workbookView xWindow="0" yWindow="0" windowWidth="24000" windowHeight="9735"/>
  </bookViews>
  <sheets>
    <sheet name="Identification" sheetId="20" r:id="rId1"/>
    <sheet name="Problem" sheetId="1" r:id="rId2"/>
  </sheets>
  <definedNames>
    <definedName name="accounts">Problem!#REF!</definedName>
  </definedNames>
  <calcPr calcId="152511"/>
</workbook>
</file>

<file path=xl/calcChain.xml><?xml version="1.0" encoding="utf-8"?>
<calcChain xmlns="http://schemas.openxmlformats.org/spreadsheetml/2006/main">
  <c r="L39" i="1" l="1"/>
  <c r="L38" i="1"/>
  <c r="L37" i="1"/>
  <c r="L34" i="1"/>
  <c r="L33" i="1"/>
  <c r="K43" i="1"/>
  <c r="K42" i="1"/>
  <c r="K41" i="1"/>
  <c r="K39" i="1"/>
  <c r="K38" i="1"/>
  <c r="K37" i="1"/>
  <c r="K35" i="1"/>
  <c r="K34" i="1"/>
  <c r="K33" i="1"/>
  <c r="L31" i="1"/>
  <c r="L30" i="1"/>
  <c r="K31" i="1"/>
  <c r="K29" i="1"/>
  <c r="K26" i="1"/>
  <c r="K25" i="1"/>
  <c r="L27" i="1"/>
  <c r="L26" i="1"/>
  <c r="L23" i="1"/>
  <c r="L22" i="1"/>
  <c r="L21" i="1"/>
  <c r="L20" i="1"/>
  <c r="L18" i="1"/>
  <c r="L17" i="1"/>
  <c r="L16" i="1"/>
  <c r="L15" i="1"/>
  <c r="CF47" i="1" l="1"/>
  <c r="CG47" i="1" s="1"/>
  <c r="K7" i="1"/>
  <c r="N37" i="1"/>
  <c r="G34" i="1"/>
  <c r="G39" i="1"/>
  <c r="G24" i="1"/>
  <c r="G26" i="1" s="1"/>
  <c r="N40" i="1"/>
  <c r="G41" i="1" l="1"/>
  <c r="P30" i="1"/>
  <c r="CF56" i="1" l="1"/>
  <c r="CG56" i="1" s="1"/>
  <c r="CF55" i="1"/>
  <c r="CG55" i="1" s="1"/>
  <c r="CF54" i="1"/>
  <c r="CG54" i="1" s="1"/>
  <c r="CF53" i="1"/>
  <c r="CG53" i="1" s="1"/>
  <c r="CF52" i="1"/>
  <c r="CG52" i="1" s="1"/>
  <c r="CF50" i="1"/>
  <c r="CG50" i="1" s="1"/>
  <c r="CF49" i="1"/>
  <c r="CG49" i="1" s="1"/>
  <c r="CF48" i="1"/>
  <c r="CG48" i="1" s="1"/>
  <c r="CF46" i="1"/>
  <c r="CG46" i="1" s="1"/>
  <c r="CF41" i="1"/>
  <c r="CG41" i="1" s="1"/>
  <c r="CF42" i="1"/>
  <c r="CG42" i="1" s="1"/>
  <c r="CF40" i="1"/>
  <c r="CG40" i="1" s="1"/>
  <c r="CF43" i="1"/>
  <c r="CG43" i="1" s="1"/>
  <c r="CF44" i="1"/>
  <c r="CG44" i="1" s="1"/>
  <c r="CF39" i="1"/>
  <c r="CG39" i="1" s="1"/>
  <c r="CF38" i="1"/>
  <c r="CG38" i="1" s="1"/>
  <c r="CF37" i="1"/>
  <c r="CG37" i="1" s="1"/>
  <c r="CF8" i="1" l="1"/>
  <c r="CG8" i="1" s="1"/>
  <c r="CZ2" i="1" l="1"/>
  <c r="DB2" i="1" s="1"/>
  <c r="B8" i="20" l="1"/>
  <c r="B9" i="20" s="1"/>
  <c r="B10" i="20"/>
  <c r="B11" i="20" s="1"/>
  <c r="B13" i="20"/>
  <c r="B14" i="20" s="1"/>
  <c r="N18" i="1" s="1"/>
  <c r="L25" i="1" s="1"/>
  <c r="B16" i="20"/>
  <c r="B17" i="20" s="1"/>
  <c r="B19" i="20"/>
  <c r="B20" i="20" s="1"/>
  <c r="N19" i="1" l="1"/>
  <c r="K27" i="1" s="1"/>
  <c r="B21" i="20"/>
  <c r="B18" i="20"/>
  <c r="B15" i="20"/>
  <c r="C75" i="20" s="1"/>
  <c r="G71" i="20"/>
  <c r="B12" i="20"/>
  <c r="N20" i="1" l="1"/>
  <c r="H71" i="20"/>
  <c r="Q3" i="1"/>
  <c r="G72" i="20"/>
  <c r="G77" i="20"/>
  <c r="Q9" i="1" s="1"/>
  <c r="O23" i="1" s="1"/>
  <c r="D70" i="20"/>
  <c r="B23" i="20"/>
  <c r="C58" i="20" s="1"/>
  <c r="K30" i="1" l="1"/>
  <c r="L35" i="1"/>
  <c r="N21" i="1"/>
  <c r="L29" i="1" s="1"/>
  <c r="U24" i="1"/>
  <c r="P23" i="1"/>
  <c r="N41" i="1" s="1"/>
  <c r="A3" i="1" s="1"/>
  <c r="H77" i="20"/>
  <c r="R9" i="1" s="1"/>
  <c r="H72" i="20"/>
  <c r="R3" i="1"/>
  <c r="G78" i="20"/>
  <c r="Q10" i="1" s="1"/>
  <c r="G73" i="20"/>
  <c r="Q4" i="1"/>
  <c r="C31" i="20"/>
  <c r="C52" i="20"/>
  <c r="C41" i="20"/>
  <c r="C39" i="20"/>
  <c r="C67" i="20"/>
  <c r="C37" i="20"/>
  <c r="C42" i="20"/>
  <c r="C32" i="20"/>
  <c r="C62" i="20"/>
  <c r="C36" i="20"/>
  <c r="C38" i="20"/>
  <c r="C68" i="20"/>
  <c r="C59" i="20"/>
  <c r="C69" i="20"/>
  <c r="C60" i="20"/>
  <c r="C48" i="20"/>
  <c r="C49" i="20"/>
  <c r="C29" i="20"/>
  <c r="C40" i="20"/>
  <c r="C57" i="20"/>
  <c r="C26" i="20"/>
  <c r="C35" i="20"/>
  <c r="C53" i="20"/>
  <c r="C70" i="20"/>
  <c r="C27" i="20"/>
  <c r="C51" i="20"/>
  <c r="C43" i="20"/>
  <c r="C30" i="20"/>
  <c r="C55" i="20"/>
  <c r="C63" i="20"/>
  <c r="C44" i="20"/>
  <c r="C56" i="20"/>
  <c r="C45" i="20"/>
  <c r="C28" i="20"/>
  <c r="C54" i="20"/>
  <c r="C61" i="20"/>
  <c r="C34" i="20"/>
  <c r="C66" i="20"/>
  <c r="C47" i="20"/>
  <c r="C46" i="20"/>
  <c r="C64" i="20"/>
  <c r="C33" i="20"/>
  <c r="C65" i="20"/>
  <c r="C50" i="20"/>
  <c r="G74" i="20" l="1"/>
  <c r="Q5" i="1"/>
  <c r="G79" i="20"/>
  <c r="Q11" i="1" s="1"/>
  <c r="H78" i="20"/>
  <c r="R10" i="1" s="1"/>
  <c r="H73" i="20"/>
  <c r="R4" i="1"/>
  <c r="C71" i="20"/>
  <c r="Q6" i="1" l="1"/>
  <c r="G80" i="20"/>
  <c r="Q12" i="1" s="1"/>
  <c r="H74" i="20"/>
  <c r="H79" i="20"/>
  <c r="R11" i="1" s="1"/>
  <c r="O32" i="1" s="1"/>
  <c r="R5" i="1"/>
  <c r="M3" i="1"/>
  <c r="T3" i="1" s="1"/>
  <c r="C77" i="20"/>
  <c r="M9" i="1" s="1"/>
  <c r="O26" i="1" s="1"/>
  <c r="P26" i="1" s="1"/>
  <c r="C73" i="20"/>
  <c r="C72" i="20"/>
  <c r="U23" i="1" l="1"/>
  <c r="P32" i="1"/>
  <c r="N38" i="1" s="1"/>
  <c r="O27" i="1"/>
  <c r="P27" i="1" s="1"/>
  <c r="R6" i="1"/>
  <c r="H80" i="20"/>
  <c r="R12" i="1" s="1"/>
  <c r="M5" i="1"/>
  <c r="C79" i="20"/>
  <c r="M11" i="1" s="1"/>
  <c r="M4" i="1"/>
  <c r="C78" i="20"/>
  <c r="M10" i="1" s="1"/>
  <c r="C74" i="20"/>
  <c r="D72" i="20"/>
  <c r="D71" i="20"/>
  <c r="DA2" i="1"/>
  <c r="CX2" i="1" s="1"/>
  <c r="CA2" i="1"/>
  <c r="BY2" i="1"/>
  <c r="N42" i="1" l="1"/>
  <c r="A4" i="1" s="1"/>
  <c r="D77" i="20"/>
  <c r="N9" i="1" s="1"/>
  <c r="O29" i="1" s="1"/>
  <c r="N3" i="1"/>
  <c r="E72" i="20"/>
  <c r="F72" i="20" s="1"/>
  <c r="N4" i="1"/>
  <c r="D78" i="20"/>
  <c r="N10" i="1" s="1"/>
  <c r="C80" i="20"/>
  <c r="M12" i="1" s="1"/>
  <c r="M6" i="1"/>
  <c r="E71" i="20"/>
  <c r="D74" i="20"/>
  <c r="D73" i="20"/>
  <c r="CF5" i="1"/>
  <c r="CG5" i="1" s="1"/>
  <c r="DF2" i="1"/>
  <c r="BZ2" i="1"/>
  <c r="CB2" i="1" s="1"/>
  <c r="CF31" i="1"/>
  <c r="CG31" i="1" s="1"/>
  <c r="X24" i="1" l="1"/>
  <c r="P29" i="1"/>
  <c r="F78" i="20"/>
  <c r="P10" i="1" s="1"/>
  <c r="P4" i="1"/>
  <c r="O18" i="1" s="1"/>
  <c r="E78" i="20"/>
  <c r="O10" i="1" s="1"/>
  <c r="O4" i="1"/>
  <c r="N6" i="1"/>
  <c r="D80" i="20"/>
  <c r="N12" i="1" s="1"/>
  <c r="O21" i="1" s="1"/>
  <c r="P21" i="1" s="1"/>
  <c r="A12" i="1" s="1"/>
  <c r="E74" i="20"/>
  <c r="N5" i="1"/>
  <c r="D79" i="20"/>
  <c r="N11" i="1" s="1"/>
  <c r="O25" i="1" s="1"/>
  <c r="P25" i="1" s="1"/>
  <c r="E77" i="20"/>
  <c r="O9" i="1" s="1"/>
  <c r="O28" i="1" s="1"/>
  <c r="P28" i="1" s="1"/>
  <c r="A6" i="1" s="1"/>
  <c r="O3" i="1"/>
  <c r="F71" i="20"/>
  <c r="E73" i="20"/>
  <c r="CF32" i="1"/>
  <c r="CG32" i="1" s="1"/>
  <c r="P18" i="1" l="1"/>
  <c r="A9" i="1" s="1"/>
  <c r="A5" i="1"/>
  <c r="F77" i="20"/>
  <c r="P9" i="1" s="1"/>
  <c r="P3" i="1"/>
  <c r="O6" i="1"/>
  <c r="O19" i="1" s="1"/>
  <c r="P19" i="1" s="1"/>
  <c r="A10" i="1" s="1"/>
  <c r="E80" i="20"/>
  <c r="O12" i="1" s="1"/>
  <c r="F74" i="20"/>
  <c r="F73" i="20"/>
  <c r="O5" i="1"/>
  <c r="E79" i="20"/>
  <c r="O11" i="1" s="1"/>
  <c r="CF33" i="1"/>
  <c r="CG33" i="1" s="1"/>
  <c r="P6" i="1" l="1"/>
  <c r="O31" i="1" s="1"/>
  <c r="F80" i="20"/>
  <c r="P12" i="1" s="1"/>
  <c r="F79" i="20"/>
  <c r="P11" i="1" s="1"/>
  <c r="O20" i="1" s="1"/>
  <c r="M21" i="1" s="1"/>
  <c r="P5" i="1"/>
  <c r="CF35" i="1"/>
  <c r="CG35" i="1" s="1"/>
  <c r="CF34" i="1"/>
  <c r="CG34" i="1" s="1"/>
  <c r="U25" i="1" l="1"/>
  <c r="U26" i="1" s="1"/>
  <c r="X26" i="1" s="1"/>
  <c r="P20" i="1"/>
  <c r="A11" i="1" s="1"/>
  <c r="X25" i="1"/>
  <c r="P31" i="1"/>
  <c r="A7" i="1" s="1"/>
  <c r="CF2" i="1"/>
  <c r="X23" i="1" l="1"/>
  <c r="O33" i="1" s="1"/>
  <c r="P33" i="1" s="1"/>
  <c r="L48" i="1" l="1"/>
  <c r="L49" i="1" s="1"/>
  <c r="L46" i="1"/>
  <c r="R33" i="1"/>
  <c r="R34" i="1" s="1"/>
  <c r="S34" i="1" s="1"/>
  <c r="T33" i="1" l="1"/>
  <c r="S33" i="1"/>
  <c r="N39" i="1"/>
  <c r="A2" i="1" s="1"/>
</calcChain>
</file>

<file path=xl/sharedStrings.xml><?xml version="1.0" encoding="utf-8"?>
<sst xmlns="http://schemas.openxmlformats.org/spreadsheetml/2006/main" count="42" uniqueCount="35">
  <si>
    <t xml:space="preserve"> </t>
  </si>
  <si>
    <t>Random Number</t>
  </si>
  <si>
    <t>Date:</t>
  </si>
  <si>
    <t>5 Digit Identification Number:</t>
  </si>
  <si>
    <t>Student Name:</t>
  </si>
  <si>
    <t>Random numbers</t>
  </si>
  <si>
    <t>Outstanding checks</t>
  </si>
  <si>
    <t>Deposit in transit</t>
  </si>
  <si>
    <t>Service charge</t>
  </si>
  <si>
    <t>Note for collection</t>
  </si>
  <si>
    <t>Interest on note</t>
  </si>
  <si>
    <t>NSF check</t>
  </si>
  <si>
    <t>Interest earned on account</t>
  </si>
  <si>
    <t>NSF Check fee</t>
  </si>
  <si>
    <t>Auto payments</t>
  </si>
  <si>
    <t>Balance per bank</t>
  </si>
  <si>
    <t>Balance per books</t>
  </si>
  <si>
    <t>Add Deposit in transit</t>
  </si>
  <si>
    <t>Less:O/s Checks</t>
  </si>
  <si>
    <t>Correct balance</t>
  </si>
  <si>
    <t>charges</t>
  </si>
  <si>
    <t>credits</t>
  </si>
  <si>
    <t>Ending balance per bank statement</t>
  </si>
  <si>
    <t xml:space="preserve">Add: </t>
  </si>
  <si>
    <t xml:space="preserve">Deduct: </t>
  </si>
  <si>
    <t>Correct cash balance</t>
  </si>
  <si>
    <t>Ending balance per company records</t>
  </si>
  <si>
    <t>A careful comparison of the check register and bank statement turned up four outstanding checks as follows:</t>
  </si>
  <si>
    <t>(a)   Complete the following bank reconciliation forms from the above information.  Correct entries will turn applicable cells green.</t>
  </si>
  <si>
    <t>(b)   What is the correct balance for Cash in the August 31 balance sheet?</t>
  </si>
  <si>
    <t>(c)   What is the difference between the correct cash balance and the amount in the ledger?</t>
  </si>
  <si>
    <t>(d)   Will the adjusting entry necessitated by this reconciliation require a debit or credit to Cash?</t>
  </si>
  <si>
    <t>debit</t>
  </si>
  <si>
    <t>credit</t>
  </si>
  <si>
    <t>Enter Name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</si>
</sst>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409]dd\-mmm\-yy;@"/>
    <numFmt numFmtId="165" formatCode="_(&quot;$&quot;* #,##0_);_(&quot;$&quot;* \(#,##0\);_(&quot;$&quot;* &quot;-&quot;??_);_(@_)"/>
    <numFmt numFmtId="166" formatCode="&quot;$&quot;#,##0"/>
    <numFmt numFmtId="167" formatCode="&quot;$&quot;#,##0.00"/>
  </numFmts>
  <fonts count="37">
    <font>
      <sz val="10"/>
      <name val="Arial"/>
    </font>
    <font>
      <sz val="10"/>
      <name val="Arial"/>
      <family val="2"/>
    </font>
    <font>
      <sz val="8"/>
      <name val="Arial"/>
      <family val="2"/>
    </font>
    <font>
      <sz val="12"/>
      <color indexed="12"/>
      <name val="Arial"/>
      <family val="2"/>
    </font>
    <font>
      <sz val="10"/>
      <name val="Arial"/>
      <family val="2"/>
    </font>
    <font>
      <sz val="10"/>
      <name val="Myriad Web Pro"/>
    </font>
    <font>
      <sz val="10"/>
      <name val="Myriad Web Pro"/>
    </font>
    <font>
      <b/>
      <sz val="10"/>
      <color indexed="9"/>
      <name val="Myriad Web Pro"/>
    </font>
    <font>
      <sz val="10"/>
      <color indexed="16"/>
      <name val="Myriad Web Pro"/>
    </font>
    <font>
      <i/>
      <sz val="10"/>
      <name val="Myriad Web Pro"/>
    </font>
    <font>
      <sz val="12"/>
      <name val="Myriad Pro"/>
      <family val="2"/>
    </font>
    <font>
      <sz val="12"/>
      <color indexed="16"/>
      <name val="Myriad Pro"/>
      <family val="2"/>
    </font>
    <font>
      <sz val="10"/>
      <name val="Myriad Pro"/>
      <family val="2"/>
    </font>
    <font>
      <sz val="10"/>
      <color indexed="12"/>
      <name val="Myriad Web Pro"/>
    </font>
    <font>
      <sz val="20"/>
      <name val="Wingdings"/>
      <charset val="2"/>
    </font>
    <font>
      <sz val="10"/>
      <name val="Arial"/>
      <family val="2"/>
    </font>
    <font>
      <u val="singleAccounting"/>
      <sz val="10"/>
      <name val="Myriad Web Pro"/>
    </font>
    <font>
      <sz val="12"/>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val="singleAccounting"/>
      <sz val="10"/>
      <color indexed="16"/>
      <name val="Myriad Web Pro"/>
    </font>
    <font>
      <u val="doubleAccounting"/>
      <sz val="10"/>
      <color indexed="16"/>
      <name val="Myriad Web Pro"/>
    </font>
  </fonts>
  <fills count="34">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s>
  <borders count="31">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diagonal/>
    </border>
    <border>
      <left style="thin">
        <color indexed="64"/>
      </left>
      <right style="thin">
        <color indexed="48"/>
      </right>
      <top/>
      <bottom style="thin">
        <color indexed="48"/>
      </bottom>
      <diagonal/>
    </border>
    <border>
      <left/>
      <right style="thin">
        <color indexed="48"/>
      </right>
      <top/>
      <bottom style="thin">
        <color indexed="48"/>
      </bottom>
      <diagonal/>
    </border>
    <border>
      <left style="thin">
        <color indexed="48"/>
      </left>
      <right style="thin">
        <color indexed="48"/>
      </right>
      <top/>
      <bottom style="thin">
        <color indexed="48"/>
      </bottom>
      <diagonal/>
    </border>
    <border>
      <left style="thin">
        <color indexed="48"/>
      </left>
      <right/>
      <top/>
      <bottom style="thin">
        <color indexed="48"/>
      </bottom>
      <diagonal/>
    </border>
    <border>
      <left style="thin">
        <color indexed="64"/>
      </left>
      <right style="thin">
        <color indexed="48"/>
      </right>
      <top style="thin">
        <color indexed="48"/>
      </top>
      <bottom style="thin">
        <color indexed="48"/>
      </bottom>
      <diagonal/>
    </border>
    <border>
      <left/>
      <right style="thin">
        <color indexed="48"/>
      </right>
      <top style="thin">
        <color indexed="48"/>
      </top>
      <bottom style="thin">
        <color indexed="48"/>
      </bottom>
      <diagonal/>
    </border>
    <border>
      <left style="thin">
        <color indexed="48"/>
      </left>
      <right style="thin">
        <color indexed="48"/>
      </right>
      <top style="thin">
        <color indexed="48"/>
      </top>
      <bottom style="thin">
        <color indexed="48"/>
      </bottom>
      <diagonal/>
    </border>
    <border>
      <left style="thin">
        <color indexed="48"/>
      </left>
      <right/>
      <top style="thin">
        <color indexed="48"/>
      </top>
      <bottom style="thin">
        <color indexed="48"/>
      </bottom>
      <diagonal/>
    </border>
    <border>
      <left style="medium">
        <color indexed="64"/>
      </left>
      <right style="medium">
        <color indexed="64"/>
      </right>
      <top style="medium">
        <color indexed="64"/>
      </top>
      <bottom style="medium">
        <color indexed="64"/>
      </bottom>
      <diagonal/>
    </border>
    <border>
      <left/>
      <right/>
      <top style="thin">
        <color indexed="48"/>
      </top>
      <bottom style="thin">
        <color indexed="48"/>
      </bottom>
      <diagonal/>
    </border>
    <border>
      <left/>
      <right style="thin">
        <color indexed="48"/>
      </right>
      <top style="thin">
        <color indexed="48"/>
      </top>
      <bottom/>
      <diagonal/>
    </border>
  </borders>
  <cellStyleXfs count="77">
    <xf numFmtId="0" fontId="0" fillId="0" borderId="0"/>
    <xf numFmtId="0" fontId="5" fillId="2" borderId="0" applyNumberFormat="0" applyAlignment="0"/>
    <xf numFmtId="0" fontId="6" fillId="3" borderId="0"/>
    <xf numFmtId="0" fontId="7" fillId="3" borderId="0">
      <alignment horizontal="center" vertical="center"/>
    </xf>
    <xf numFmtId="3" fontId="6"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12" fillId="4" borderId="3" applyFont="0" applyAlignment="0">
      <alignment horizontal="center" vertical="center" wrapText="1"/>
    </xf>
    <xf numFmtId="0" fontId="6" fillId="4" borderId="0">
      <alignment horizontal="center" vertical="center" wrapText="1"/>
    </xf>
    <xf numFmtId="0" fontId="9"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4" fontId="10" fillId="6" borderId="5" applyNumberFormat="0" applyFont="0" applyFill="0" applyAlignment="0">
      <alignment horizontal="left" vertical="center" wrapText="1"/>
    </xf>
    <xf numFmtId="164" fontId="6" fillId="0" borderId="5" applyNumberFormat="0" applyFont="0" applyFill="0" applyAlignment="0">
      <alignment horizontal="center" vertical="center" wrapText="1"/>
    </xf>
    <xf numFmtId="164" fontId="5" fillId="0" borderId="5" applyNumberFormat="0" applyFont="0" applyFill="0" applyAlignment="0">
      <alignment horizontal="center" vertical="center" wrapText="1"/>
    </xf>
    <xf numFmtId="164" fontId="6"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0" fontId="15" fillId="8" borderId="0">
      <alignment vertical="center"/>
    </xf>
    <xf numFmtId="164" fontId="6" fillId="6" borderId="8" applyNumberFormat="0" applyBorder="0" applyAlignment="0">
      <alignment horizontal="left" vertical="center" wrapText="1"/>
    </xf>
    <xf numFmtId="0" fontId="15" fillId="0" borderId="0"/>
    <xf numFmtId="0" fontId="6" fillId="4" borderId="0" applyFill="0">
      <alignment vertical="center" wrapText="1"/>
    </xf>
    <xf numFmtId="0" fontId="11" fillId="0" borderId="0">
      <alignment horizontal="left" vertical="center" wrapText="1"/>
    </xf>
    <xf numFmtId="0" fontId="10" fillId="0" borderId="0">
      <alignment horizontal="left" vertical="center" wrapText="1"/>
    </xf>
    <xf numFmtId="0" fontId="6" fillId="9" borderId="0" applyNumberFormat="0" applyAlignment="0">
      <alignment vertical="center"/>
    </xf>
    <xf numFmtId="0" fontId="7" fillId="10" borderId="0" applyNumberFormat="0" applyAlignment="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7" borderId="0" applyNumberFormat="0" applyBorder="0" applyAlignment="0" applyProtection="0"/>
    <xf numFmtId="0" fontId="18" fillId="20" borderId="0" applyNumberFormat="0" applyBorder="0" applyAlignment="0" applyProtection="0"/>
    <xf numFmtId="0" fontId="19" fillId="21"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8" borderId="0" applyNumberFormat="0" applyBorder="0" applyAlignment="0" applyProtection="0"/>
    <xf numFmtId="0" fontId="20" fillId="12" borderId="0" applyNumberFormat="0" applyBorder="0" applyAlignment="0" applyProtection="0"/>
    <xf numFmtId="0" fontId="5" fillId="2" borderId="0" applyNumberFormat="0" applyBorder="0" applyAlignment="0"/>
    <xf numFmtId="0" fontId="5" fillId="3" borderId="0"/>
    <xf numFmtId="0" fontId="21" fillId="29" borderId="10" applyNumberFormat="0" applyAlignment="0" applyProtection="0"/>
    <xf numFmtId="0" fontId="22" fillId="30" borderId="11" applyNumberFormat="0" applyAlignment="0" applyProtection="0"/>
    <xf numFmtId="0" fontId="23" fillId="0" borderId="0" applyNumberFormat="0" applyFill="0" applyBorder="0" applyAlignment="0" applyProtection="0"/>
    <xf numFmtId="3" fontId="5" fillId="4" borderId="1">
      <alignment horizontal="right" vertical="center" wrapText="1"/>
    </xf>
    <xf numFmtId="3" fontId="12" fillId="4" borderId="3" applyNumberFormat="0" applyFont="0" applyAlignment="0">
      <alignment horizontal="center" vertical="center" wrapText="1"/>
    </xf>
    <xf numFmtId="16" fontId="5" fillId="4" borderId="0">
      <alignment horizontal="center" vertical="center" wrapText="1"/>
    </xf>
    <xf numFmtId="0" fontId="17" fillId="5" borderId="0" applyFont="0" applyAlignment="0">
      <alignment horizontal="center" vertical="center" wrapText="1"/>
    </xf>
    <xf numFmtId="0" fontId="24" fillId="13" borderId="0" applyNumberFormat="0" applyBorder="0" applyAlignment="0" applyProtection="0"/>
    <xf numFmtId="0" fontId="25" fillId="0" borderId="12" applyNumberFormat="0" applyFill="0" applyAlignment="0" applyProtection="0"/>
    <xf numFmtId="0" fontId="26" fillId="0" borderId="13" applyNumberFormat="0" applyFill="0" applyAlignment="0" applyProtection="0"/>
    <xf numFmtId="0" fontId="27" fillId="0" borderId="14" applyNumberFormat="0" applyFill="0" applyAlignment="0" applyProtection="0"/>
    <xf numFmtId="0" fontId="27" fillId="0" borderId="0" applyNumberFormat="0" applyFill="0" applyBorder="0" applyAlignment="0" applyProtection="0"/>
    <xf numFmtId="0" fontId="28" fillId="16" borderId="10" applyNumberFormat="0" applyAlignment="0" applyProtection="0"/>
    <xf numFmtId="164" fontId="5" fillId="7" borderId="6" applyNumberFormat="0" applyBorder="0" applyAlignment="0">
      <alignment horizontal="left" vertical="center" wrapText="1"/>
    </xf>
    <xf numFmtId="164" fontId="5" fillId="6" borderId="8" applyNumberFormat="0" applyBorder="0" applyAlignment="0">
      <alignment horizontal="left" vertical="center" wrapText="1"/>
    </xf>
    <xf numFmtId="0" fontId="29" fillId="0" borderId="15" applyNumberFormat="0" applyFill="0" applyAlignment="0" applyProtection="0"/>
    <xf numFmtId="0" fontId="30" fillId="31" borderId="0" applyNumberFormat="0" applyBorder="0" applyAlignment="0" applyProtection="0"/>
    <xf numFmtId="0" fontId="1" fillId="32" borderId="16" applyNumberFormat="0" applyFont="0" applyAlignment="0" applyProtection="0"/>
    <xf numFmtId="0" fontId="31" fillId="29" borderId="17" applyNumberFormat="0" applyAlignment="0" applyProtection="0"/>
    <xf numFmtId="0" fontId="5" fillId="4" borderId="0" applyFill="0">
      <alignment horizontal="justify" vertical="top" wrapText="1"/>
    </xf>
    <xf numFmtId="0" fontId="32" fillId="0" borderId="0" applyNumberFormat="0" applyFill="0" applyBorder="0" applyAlignment="0" applyProtection="0"/>
    <xf numFmtId="0" fontId="33" fillId="0" borderId="18" applyNumberFormat="0" applyFill="0" applyAlignment="0" applyProtection="0"/>
    <xf numFmtId="0" fontId="5" fillId="9" borderId="0" applyNumberFormat="0" applyAlignment="0">
      <alignment vertical="center"/>
    </xf>
    <xf numFmtId="0" fontId="34" fillId="0" borderId="0" applyNumberFormat="0" applyFill="0" applyBorder="0" applyAlignment="0" applyProtection="0"/>
  </cellStyleXfs>
  <cellXfs count="98">
    <xf numFmtId="0" fontId="0" fillId="0" borderId="0" xfId="0"/>
    <xf numFmtId="0" fontId="0" fillId="0" borderId="0" xfId="0" applyBorder="1"/>
    <xf numFmtId="1" fontId="4" fillId="0" borderId="0" xfId="0" applyNumberFormat="1" applyFont="1" applyBorder="1"/>
    <xf numFmtId="1" fontId="4" fillId="0" borderId="9" xfId="0" applyNumberFormat="1" applyFont="1" applyBorder="1"/>
    <xf numFmtId="0" fontId="0" fillId="0" borderId="0" xfId="0" applyAlignment="1">
      <alignment horizontal="left" vertical="center"/>
    </xf>
    <xf numFmtId="0" fontId="0" fillId="0" borderId="0" xfId="0" applyAlignment="1" applyProtection="1">
      <alignment horizontal="left" vertical="center"/>
    </xf>
    <xf numFmtId="14"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0" fontId="6" fillId="0" borderId="0" xfId="0" applyFont="1" applyProtection="1"/>
    <xf numFmtId="0" fontId="14" fillId="0" borderId="0" xfId="0" applyFont="1" applyAlignment="1" applyProtection="1">
      <alignment horizontal="center" vertical="center"/>
    </xf>
    <xf numFmtId="0" fontId="6" fillId="0" borderId="0" xfId="0" applyFont="1" applyFill="1" applyProtection="1"/>
    <xf numFmtId="0" fontId="15" fillId="0" borderId="0" xfId="0" applyFont="1"/>
    <xf numFmtId="0" fontId="5" fillId="0" borderId="0" xfId="0" applyFont="1"/>
    <xf numFmtId="0" fontId="5" fillId="0" borderId="0" xfId="0" applyFont="1" applyAlignment="1">
      <alignment wrapText="1"/>
    </xf>
    <xf numFmtId="42" fontId="5" fillId="0" borderId="0" xfId="0" applyNumberFormat="1" applyFont="1" applyAlignment="1">
      <alignment horizontal="right"/>
    </xf>
    <xf numFmtId="0" fontId="5" fillId="0" borderId="0" xfId="0" applyFont="1" applyAlignment="1">
      <alignment horizontal="right"/>
    </xf>
    <xf numFmtId="0" fontId="5" fillId="0" borderId="0" xfId="0" applyFont="1" applyProtection="1"/>
    <xf numFmtId="42" fontId="5" fillId="0" borderId="0" xfId="0" applyNumberFormat="1" applyFont="1" applyAlignment="1" applyProtection="1">
      <alignment horizontal="right"/>
    </xf>
    <xf numFmtId="0" fontId="5" fillId="0" borderId="0" xfId="0" applyFont="1" applyAlignment="1" applyProtection="1">
      <alignment wrapText="1"/>
    </xf>
    <xf numFmtId="42" fontId="5" fillId="0" borderId="0" xfId="0" applyNumberFormat="1" applyFont="1" applyProtection="1"/>
    <xf numFmtId="44" fontId="5" fillId="0" borderId="0" xfId="0" applyNumberFormat="1" applyFont="1" applyProtection="1"/>
    <xf numFmtId="0" fontId="5" fillId="0" borderId="0" xfId="0" applyFont="1" applyAlignment="1" applyProtection="1">
      <alignment horizontal="right"/>
    </xf>
    <xf numFmtId="44" fontId="5" fillId="0" borderId="0" xfId="0" applyNumberFormat="1" applyFont="1"/>
    <xf numFmtId="42" fontId="5" fillId="0" borderId="0" xfId="0" applyNumberFormat="1" applyFont="1"/>
    <xf numFmtId="0" fontId="15" fillId="0" borderId="0" xfId="0" applyFont="1" applyProtection="1">
      <protection locked="0"/>
    </xf>
    <xf numFmtId="0" fontId="5" fillId="0" borderId="0" xfId="21" applyFont="1" applyFill="1" applyAlignment="1" applyProtection="1">
      <alignment horizontal="center" vertical="center" wrapText="1"/>
    </xf>
    <xf numFmtId="0" fontId="5" fillId="0" borderId="0" xfId="21" applyFont="1" applyFill="1" applyAlignment="1" applyProtection="1">
      <alignment horizontal="left" vertical="center" wrapText="1" indent="5"/>
    </xf>
    <xf numFmtId="0" fontId="5" fillId="0" borderId="0" xfId="21" applyFont="1" applyFill="1" applyAlignment="1" applyProtection="1">
      <alignment horizontal="center" vertical="center" wrapText="1"/>
    </xf>
    <xf numFmtId="165" fontId="5" fillId="0" borderId="0" xfId="0" applyNumberFormat="1" applyFont="1" applyProtection="1"/>
    <xf numFmtId="43" fontId="6" fillId="0" borderId="0" xfId="0" applyNumberFormat="1" applyFont="1" applyFill="1" applyProtection="1"/>
    <xf numFmtId="1" fontId="5" fillId="0" borderId="0" xfId="0" applyNumberFormat="1" applyFont="1" applyProtection="1"/>
    <xf numFmtId="1" fontId="5" fillId="0" borderId="0" xfId="0" applyNumberFormat="1" applyFont="1" applyAlignment="1" applyProtection="1">
      <alignment horizontal="right"/>
    </xf>
    <xf numFmtId="167" fontId="5" fillId="0" borderId="0" xfId="0" applyNumberFormat="1" applyFont="1" applyProtection="1"/>
    <xf numFmtId="0" fontId="5" fillId="0" borderId="0" xfId="0" applyFont="1" applyAlignment="1" applyProtection="1">
      <alignment horizontal="left"/>
    </xf>
    <xf numFmtId="0" fontId="5" fillId="0" borderId="0" xfId="0" applyFont="1"/>
    <xf numFmtId="0" fontId="5" fillId="0" borderId="0" xfId="0" applyFont="1" applyAlignment="1">
      <alignment horizontal="left" vertical="top" wrapText="1" indent="2"/>
    </xf>
    <xf numFmtId="44" fontId="5" fillId="0" borderId="0" xfId="0" applyNumberFormat="1" applyFont="1" applyAlignment="1" applyProtection="1">
      <alignment horizontal="center" vertical="center"/>
    </xf>
    <xf numFmtId="0" fontId="13" fillId="0" borderId="0" xfId="0" applyFont="1" applyBorder="1" applyAlignment="1">
      <alignment wrapText="1"/>
    </xf>
    <xf numFmtId="0" fontId="5" fillId="0" borderId="0" xfId="72" applyFont="1" applyFill="1" applyAlignment="1">
      <alignment horizontal="center" vertical="center" wrapText="1"/>
    </xf>
    <xf numFmtId="0" fontId="13" fillId="0" borderId="0" xfId="0" applyFont="1" applyAlignment="1">
      <alignment vertical="center"/>
    </xf>
    <xf numFmtId="0" fontId="13" fillId="0" borderId="0" xfId="0" applyFont="1" applyBorder="1" applyAlignment="1">
      <alignment vertical="center"/>
    </xf>
    <xf numFmtId="0" fontId="5" fillId="0" borderId="0" xfId="21" applyFont="1" applyFill="1" applyAlignment="1" applyProtection="1">
      <alignment horizontal="left" vertical="center" wrapText="1"/>
    </xf>
    <xf numFmtId="44" fontId="5" fillId="0" borderId="0" xfId="0" applyNumberFormat="1" applyFont="1" applyFill="1" applyAlignment="1" applyProtection="1">
      <alignment horizontal="center" vertical="center"/>
    </xf>
    <xf numFmtId="0" fontId="5" fillId="0" borderId="0" xfId="0" applyFont="1" applyFill="1" applyAlignment="1" applyProtection="1">
      <alignment horizontal="left"/>
    </xf>
    <xf numFmtId="0" fontId="5" fillId="0" borderId="0" xfId="0" applyFont="1" applyFill="1" applyProtection="1"/>
    <xf numFmtId="0" fontId="5" fillId="0" borderId="0" xfId="0" applyFont="1" applyFill="1" applyAlignment="1" applyProtection="1">
      <alignment wrapText="1"/>
    </xf>
    <xf numFmtId="42" fontId="5" fillId="0" borderId="0" xfId="0" applyNumberFormat="1" applyFont="1" applyFill="1" applyProtection="1"/>
    <xf numFmtId="0" fontId="1" fillId="0" borderId="0" xfId="0" applyFont="1" applyAlignment="1" applyProtection="1">
      <alignment horizontal="center" vertical="center"/>
      <protection locked="0"/>
    </xf>
    <xf numFmtId="0" fontId="5" fillId="0" borderId="0" xfId="21" applyFont="1" applyFill="1" applyAlignment="1" applyProtection="1">
      <alignment horizontal="center" vertical="center" wrapText="1"/>
    </xf>
    <xf numFmtId="167" fontId="5" fillId="33" borderId="0" xfId="0" applyNumberFormat="1" applyFont="1" applyFill="1" applyProtection="1"/>
    <xf numFmtId="8" fontId="5" fillId="0" borderId="20" xfId="0" applyNumberFormat="1" applyFont="1" applyBorder="1" applyAlignment="1" applyProtection="1">
      <alignment vertical="center"/>
    </xf>
    <xf numFmtId="0" fontId="5" fillId="0" borderId="22" xfId="0" applyFont="1" applyBorder="1" applyAlignment="1" applyProtection="1">
      <alignment horizontal="left" vertical="center" wrapText="1"/>
    </xf>
    <xf numFmtId="8" fontId="5" fillId="0" borderId="23" xfId="0" applyNumberFormat="1" applyFont="1" applyBorder="1" applyAlignment="1" applyProtection="1">
      <alignment vertical="center"/>
    </xf>
    <xf numFmtId="0" fontId="5" fillId="0" borderId="27" xfId="0" applyFont="1" applyBorder="1" applyAlignment="1" applyProtection="1">
      <alignment horizontal="left" vertical="center" wrapText="1"/>
    </xf>
    <xf numFmtId="0" fontId="5" fillId="0" borderId="25" xfId="0" applyFont="1" applyBorder="1" applyAlignment="1" applyProtection="1">
      <alignment horizontal="left" vertical="center" wrapText="1"/>
    </xf>
    <xf numFmtId="44" fontId="5" fillId="0" borderId="24" xfId="0" applyNumberFormat="1" applyFont="1" applyBorder="1" applyAlignment="1" applyProtection="1">
      <alignment vertical="center"/>
    </xf>
    <xf numFmtId="0" fontId="5" fillId="0" borderId="30" xfId="0" applyFont="1" applyBorder="1" applyAlignment="1" applyProtection="1">
      <alignment horizontal="left" vertical="center" wrapText="1"/>
    </xf>
    <xf numFmtId="0" fontId="5" fillId="0" borderId="26" xfId="0" applyFont="1" applyBorder="1" applyAlignment="1" applyProtection="1">
      <alignment horizontal="left" vertical="center" wrapText="1"/>
    </xf>
    <xf numFmtId="44" fontId="5" fillId="0" borderId="27" xfId="0" applyNumberFormat="1" applyFont="1" applyBorder="1" applyAlignment="1" applyProtection="1">
      <alignment vertical="center"/>
    </xf>
    <xf numFmtId="43" fontId="5" fillId="0" borderId="24" xfId="0" applyNumberFormat="1" applyFont="1" applyBorder="1" applyAlignment="1" applyProtection="1">
      <alignment vertical="center"/>
    </xf>
    <xf numFmtId="0" fontId="5" fillId="0" borderId="29" xfId="0" applyFont="1" applyBorder="1" applyAlignment="1" applyProtection="1">
      <alignment horizontal="left" vertical="center" wrapText="1"/>
    </xf>
    <xf numFmtId="43" fontId="5" fillId="0" borderId="27" xfId="0" applyNumberFormat="1" applyFont="1" applyBorder="1" applyAlignment="1" applyProtection="1">
      <alignment vertical="center"/>
    </xf>
    <xf numFmtId="0" fontId="5" fillId="0" borderId="21" xfId="0" applyFont="1" applyBorder="1" applyAlignment="1" applyProtection="1">
      <alignment horizontal="left" vertical="center" wrapText="1"/>
    </xf>
    <xf numFmtId="43" fontId="35" fillId="0" borderId="24" xfId="0" applyNumberFormat="1" applyFont="1" applyBorder="1" applyAlignment="1" applyProtection="1">
      <alignment vertical="center"/>
    </xf>
    <xf numFmtId="0" fontId="8" fillId="0" borderId="29" xfId="0" applyFont="1" applyBorder="1" applyAlignment="1" applyProtection="1">
      <alignment horizontal="left" vertical="center" wrapText="1"/>
    </xf>
    <xf numFmtId="0" fontId="8" fillId="0" borderId="25" xfId="0" applyFont="1" applyBorder="1" applyAlignment="1" applyProtection="1">
      <alignment horizontal="left" vertical="center" wrapText="1"/>
    </xf>
    <xf numFmtId="44" fontId="8" fillId="0" borderId="25" xfId="0" applyNumberFormat="1" applyFont="1" applyBorder="1" applyAlignment="1" applyProtection="1">
      <alignment vertical="center"/>
    </xf>
    <xf numFmtId="43" fontId="8" fillId="0" borderId="25" xfId="0" applyNumberFormat="1" applyFont="1" applyBorder="1" applyAlignment="1" applyProtection="1">
      <alignment vertical="center"/>
    </xf>
    <xf numFmtId="0" fontId="8" fillId="0" borderId="29" xfId="0" applyFont="1" applyBorder="1" applyAlignment="1" applyProtection="1">
      <alignment horizontal="left" vertical="center" wrapText="1" indent="2"/>
    </xf>
    <xf numFmtId="43" fontId="16" fillId="0" borderId="26" xfId="0" applyNumberFormat="1" applyFont="1" applyBorder="1" applyAlignment="1" applyProtection="1">
      <alignment horizontal="left" vertical="center" wrapText="1"/>
    </xf>
    <xf numFmtId="0" fontId="8" fillId="0" borderId="25" xfId="0" applyFont="1" applyBorder="1" applyAlignment="1" applyProtection="1">
      <alignment horizontal="left" vertical="center" wrapText="1" indent="2"/>
    </xf>
    <xf numFmtId="0" fontId="8" fillId="0" borderId="21" xfId="0" applyFont="1" applyBorder="1" applyAlignment="1" applyProtection="1">
      <alignment horizontal="left" vertical="center" wrapText="1" indent="2"/>
    </xf>
    <xf numFmtId="43" fontId="8" fillId="0" borderId="26" xfId="0" applyNumberFormat="1" applyFont="1" applyBorder="1" applyAlignment="1" applyProtection="1">
      <alignment vertical="center"/>
    </xf>
    <xf numFmtId="43" fontId="35" fillId="0" borderId="27" xfId="0" applyNumberFormat="1" applyFont="1" applyBorder="1" applyAlignment="1" applyProtection="1">
      <alignment vertical="center"/>
    </xf>
    <xf numFmtId="44" fontId="36" fillId="0" borderId="25" xfId="0" applyNumberFormat="1" applyFont="1" applyBorder="1" applyAlignment="1" applyProtection="1">
      <alignment horizontal="left" vertical="center" wrapText="1" indent="2"/>
    </xf>
    <xf numFmtId="43" fontId="5" fillId="0" borderId="26" xfId="0" applyNumberFormat="1" applyFont="1" applyBorder="1" applyAlignment="1" applyProtection="1">
      <alignment horizontal="left" vertical="center" wrapText="1"/>
    </xf>
    <xf numFmtId="44" fontId="5" fillId="0" borderId="28" xfId="0" applyNumberFormat="1" applyFont="1" applyBorder="1" applyAlignment="1" applyProtection="1">
      <alignment horizontal="left" vertical="center" wrapText="1"/>
      <protection locked="0"/>
    </xf>
    <xf numFmtId="43" fontId="5" fillId="0" borderId="28" xfId="0" applyNumberFormat="1" applyFont="1" applyBorder="1" applyAlignment="1" applyProtection="1">
      <alignment horizontal="left" vertical="center" wrapText="1"/>
      <protection locked="0"/>
    </xf>
    <xf numFmtId="43" fontId="16" fillId="0" borderId="28" xfId="0" applyNumberFormat="1" applyFont="1" applyBorder="1" applyAlignment="1" applyProtection="1">
      <alignment horizontal="left" vertical="center" wrapText="1"/>
      <protection locked="0"/>
    </xf>
    <xf numFmtId="0" fontId="5" fillId="0" borderId="28" xfId="0" applyFont="1" applyBorder="1" applyAlignment="1" applyProtection="1">
      <alignment horizontal="left" vertical="center" wrapText="1"/>
      <protection locked="0"/>
    </xf>
    <xf numFmtId="0" fontId="8" fillId="0" borderId="27" xfId="0" applyFont="1" applyBorder="1" applyAlignment="1" applyProtection="1">
      <alignment horizontal="left" vertical="center" wrapText="1"/>
    </xf>
    <xf numFmtId="0" fontId="8" fillId="0" borderId="25" xfId="0" applyFont="1" applyBorder="1" applyAlignment="1" applyProtection="1">
      <alignment horizontal="left" vertical="center" wrapText="1"/>
    </xf>
    <xf numFmtId="0" fontId="5" fillId="0" borderId="0" xfId="21" applyFont="1" applyFill="1" applyAlignment="1" applyProtection="1">
      <alignment horizontal="center" vertical="center" wrapText="1"/>
    </xf>
    <xf numFmtId="0" fontId="5" fillId="0" borderId="0" xfId="21" applyFont="1" applyFill="1" applyAlignment="1" applyProtection="1">
      <alignment horizontal="center" vertical="top" wrapText="1"/>
    </xf>
    <xf numFmtId="0" fontId="5" fillId="0" borderId="0" xfId="21" applyFont="1" applyFill="1" applyAlignment="1" applyProtection="1">
      <alignment horizontal="left" vertical="center" wrapText="1"/>
    </xf>
    <xf numFmtId="0" fontId="7" fillId="10" borderId="19" xfId="25" applyFont="1" applyBorder="1" applyAlignment="1" applyProtection="1">
      <alignment horizontal="center"/>
    </xf>
    <xf numFmtId="0" fontId="7" fillId="10" borderId="0" xfId="25" applyFont="1" applyBorder="1" applyAlignment="1" applyProtection="1">
      <alignment horizontal="center"/>
    </xf>
    <xf numFmtId="0" fontId="5" fillId="0" borderId="23" xfId="0" applyFont="1" applyBorder="1" applyAlignment="1" applyProtection="1">
      <alignment horizontal="left" vertical="center" wrapText="1"/>
    </xf>
    <xf numFmtId="0" fontId="5" fillId="0" borderId="21" xfId="0" applyFont="1" applyBorder="1" applyAlignment="1" applyProtection="1">
      <alignment horizontal="left" vertical="center" wrapText="1"/>
    </xf>
    <xf numFmtId="0" fontId="7" fillId="8" borderId="19" xfId="16" applyFont="1" applyBorder="1" applyAlignment="1" applyProtection="1">
      <alignment horizontal="center" vertical="center"/>
    </xf>
    <xf numFmtId="0" fontId="7" fillId="8" borderId="0" xfId="16" applyFont="1" applyBorder="1" applyAlignment="1" applyProtection="1">
      <alignment horizontal="center" vertical="center"/>
    </xf>
    <xf numFmtId="0" fontId="5" fillId="0" borderId="0" xfId="72" applyFont="1" applyFill="1">
      <alignment horizontal="justify" vertical="top" wrapText="1"/>
    </xf>
    <xf numFmtId="42" fontId="6" fillId="0" borderId="0" xfId="0" applyNumberFormat="1" applyFont="1" applyProtection="1"/>
    <xf numFmtId="42" fontId="6" fillId="0" borderId="0" xfId="0" applyNumberFormat="1" applyFont="1" applyFill="1" applyProtection="1"/>
    <xf numFmtId="0" fontId="5" fillId="0" borderId="0" xfId="0" applyFont="1" applyFill="1" applyAlignment="1" applyProtection="1">
      <alignment vertical="center"/>
    </xf>
    <xf numFmtId="167" fontId="6" fillId="0" borderId="9" xfId="0" applyNumberFormat="1" applyFont="1" applyFill="1" applyBorder="1" applyAlignment="1" applyProtection="1">
      <alignment horizontal="center" vertical="center"/>
      <protection locked="0"/>
    </xf>
    <xf numFmtId="167" fontId="6" fillId="0" borderId="0" xfId="0" applyNumberFormat="1" applyFont="1" applyFill="1" applyProtection="1"/>
    <xf numFmtId="166" fontId="6" fillId="0" borderId="0" xfId="0" applyNumberFormat="1" applyFont="1" applyFill="1" applyBorder="1" applyAlignment="1" applyProtection="1"/>
  </cellXfs>
  <cellStyles count="77">
    <cellStyle name="20% - Accent1 2" xfId="26"/>
    <cellStyle name="20% - Accent2 2" xfId="27"/>
    <cellStyle name="20% - Accent3 2" xfId="28"/>
    <cellStyle name="20% - Accent4 2" xfId="29"/>
    <cellStyle name="20% - Accent5 2" xfId="30"/>
    <cellStyle name="20% - Accent6 2" xfId="31"/>
    <cellStyle name="40% - Accent1 2" xfId="32"/>
    <cellStyle name="40% - Accent2 2" xfId="33"/>
    <cellStyle name="40% - Accent3 2" xfId="34"/>
    <cellStyle name="40% - Accent4 2" xfId="35"/>
    <cellStyle name="40% - Accent5 2" xfId="36"/>
    <cellStyle name="40% - Accent6 2" xfId="37"/>
    <cellStyle name="60% - Accent1 2" xfId="38"/>
    <cellStyle name="60% - Accent2 2" xfId="39"/>
    <cellStyle name="60% - Accent3 2" xfId="40"/>
    <cellStyle name="60% - Accent4 2" xfId="41"/>
    <cellStyle name="60% - Accent5 2" xfId="42"/>
    <cellStyle name="60% - Accent6 2" xfId="43"/>
    <cellStyle name="Accent1 2" xfId="44"/>
    <cellStyle name="Accent2 2" xfId="45"/>
    <cellStyle name="Accent3 2" xfId="46"/>
    <cellStyle name="Accent4 2" xfId="47"/>
    <cellStyle name="Accent5 2" xfId="48"/>
    <cellStyle name="Accent6 2" xfId="49"/>
    <cellStyle name="Bad 2" xfId="50"/>
    <cellStyle name="bsbody" xfId="1"/>
    <cellStyle name="bsbody 2" xfId="51"/>
    <cellStyle name="bsfoot" xfId="2"/>
    <cellStyle name="bsfoot 2" xfId="52"/>
    <cellStyle name="bshead" xfId="3"/>
    <cellStyle name="Calculation 2" xfId="53"/>
    <cellStyle name="Check Cell 2" xfId="54"/>
    <cellStyle name="Explanatory Text 2" xfId="55"/>
    <cellStyle name="GenJour#" xfId="4"/>
    <cellStyle name="GenJour# 2" xfId="56"/>
    <cellStyle name="GenJour1" xfId="5"/>
    <cellStyle name="GenJour2" xfId="6"/>
    <cellStyle name="GenJourBody" xfId="7"/>
    <cellStyle name="GenJourBody 2" xfId="57"/>
    <cellStyle name="GenJourDate" xfId="8"/>
    <cellStyle name="GenJourDate 2" xfId="58"/>
    <cellStyle name="GenJourDes" xfId="9"/>
    <cellStyle name="GenJourFoot" xfId="10"/>
    <cellStyle name="GenJourFoot 2" xfId="59"/>
    <cellStyle name="GenJourHead" xfId="11"/>
    <cellStyle name="Good 2" xfId="60"/>
    <cellStyle name="Heading 1 2" xfId="61"/>
    <cellStyle name="Heading 2 2" xfId="62"/>
    <cellStyle name="Heading 3 2" xfId="63"/>
    <cellStyle name="Heading 4 2" xfId="64"/>
    <cellStyle name="Input 2" xfId="65"/>
    <cellStyle name="LedgBody" xfId="12"/>
    <cellStyle name="ledgerwkbk" xfId="13"/>
    <cellStyle name="ledgerwkbk 2" xfId="14"/>
    <cellStyle name="LedgGreen" xfId="15"/>
    <cellStyle name="LedgGreen 2" xfId="66"/>
    <cellStyle name="LedgHead" xfId="16"/>
    <cellStyle name="LedgSide" xfId="17"/>
    <cellStyle name="LedgSide 2" xfId="18"/>
    <cellStyle name="LedgYellow" xfId="19"/>
    <cellStyle name="LedgYellow 2" xfId="67"/>
    <cellStyle name="Linked Cell 2" xfId="68"/>
    <cellStyle name="Neutral 2" xfId="69"/>
    <cellStyle name="Normal" xfId="0" builtinId="0"/>
    <cellStyle name="Normal 2" xfId="20"/>
    <cellStyle name="Note 2" xfId="70"/>
    <cellStyle name="Output 2" xfId="71"/>
    <cellStyle name="POA" xfId="21"/>
    <cellStyle name="POA 2" xfId="72"/>
    <cellStyle name="POAanswer" xfId="22"/>
    <cellStyle name="POAhead" xfId="23"/>
    <cellStyle name="Title 2" xfId="73"/>
    <cellStyle name="Total 2" xfId="74"/>
    <cellStyle name="trialbody" xfId="24"/>
    <cellStyle name="trialbody 2" xfId="75"/>
    <cellStyle name="trialhead" xfId="25"/>
    <cellStyle name="Warning Text 2" xfId="76"/>
  </cellStyles>
  <dxfs count="39">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color auto="1"/>
      </font>
      <fill>
        <patternFill>
          <bgColor rgb="FF00FF00"/>
        </patternFill>
      </fill>
    </dxf>
    <dxf>
      <fill>
        <patternFill>
          <bgColor rgb="FF00FF00"/>
        </patternFill>
      </fill>
    </dxf>
    <dxf>
      <font>
        <color auto="1"/>
      </font>
      <fill>
        <patternFill>
          <bgColor rgb="FF00FF00"/>
        </patternFill>
      </fill>
    </dxf>
    <dxf>
      <fill>
        <patternFill>
          <bgColor rgb="FF00FF00"/>
        </patternFill>
      </fill>
    </dxf>
    <dxf>
      <fill>
        <patternFill>
          <bgColor rgb="FF00FF00"/>
        </patternFill>
      </fill>
    </dxf>
    <dxf>
      <font>
        <color auto="1"/>
      </font>
      <fill>
        <patternFill>
          <bgColor rgb="FF00FF00"/>
        </patternFill>
      </fill>
    </dxf>
    <dxf>
      <fill>
        <patternFill>
          <bgColor rgb="FF00FF00"/>
        </patternFill>
      </fill>
    </dxf>
    <dxf>
      <fill>
        <patternFill>
          <bgColor rgb="FF00FF00"/>
        </patternFill>
      </fill>
    </dxf>
    <dxf>
      <font>
        <color auto="1"/>
      </font>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color auto="1"/>
      </font>
      <fill>
        <patternFill>
          <bgColor rgb="FF00FF00"/>
        </patternFill>
      </fill>
    </dxf>
    <dxf>
      <fill>
        <patternFill>
          <bgColor rgb="FF00FF00"/>
        </patternFill>
      </fill>
    </dxf>
    <dxf>
      <font>
        <color auto="1"/>
      </font>
      <fill>
        <patternFill>
          <bgColor rgb="FF00FF00"/>
        </patternFill>
      </fill>
    </dxf>
    <dxf>
      <font>
        <color auto="1"/>
      </font>
      <fill>
        <patternFill>
          <bgColor rgb="FF00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BD1B2"/>
      <rgbColor rgb="001FB714"/>
      <rgbColor rgb="000000D4"/>
      <rgbColor rgb="00FCF305"/>
      <rgbColor rgb="00F1ECDA"/>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0EDF0"/>
      <rgbColor rgb="00CCFFFF"/>
      <rgbColor rgb="00CCFFCC"/>
      <rgbColor rgb="00FFFF99"/>
      <rgbColor rgb="002C3B62"/>
      <rgbColor rgb="006C602B"/>
      <rgbColor rgb="00F6F7F5"/>
      <rgbColor rgb="004C7C38"/>
      <rgbColor rgb="003366FF"/>
      <rgbColor rgb="0033CCCC"/>
      <rgbColor rgb="00F6F7EC"/>
      <rgbColor rgb="00FDF6E2"/>
      <rgbColor rgb="00E7EDDC"/>
      <rgbColor rgb="00C7D6B5"/>
      <rgbColor rgb="00666699"/>
      <rgbColor rgb="00969696"/>
      <rgbColor rgb="00003366"/>
      <rgbColor rgb="00339966"/>
      <rgbColor rgb="00003300"/>
      <rgbColor rgb="00333300"/>
      <rgbColor rgb="00993300"/>
      <rgbColor rgb="00993366"/>
      <rgbColor rgb="00333399"/>
      <rgbColor rgb="00333333"/>
    </indexedColors>
    <mruColors>
      <color rgb="FF00FF00"/>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82"/>
  <sheetViews>
    <sheetView tabSelected="1" workbookViewId="0">
      <selection activeCell="B1" sqref="B1"/>
    </sheetView>
  </sheetViews>
  <sheetFormatPr defaultColWidth="0" defaultRowHeight="12.75" zeroHeight="1"/>
  <cols>
    <col min="1" max="1" width="32.7109375" customWidth="1"/>
    <col min="2" max="2" width="30.140625" customWidth="1"/>
    <col min="3" max="3" width="9.85546875" hidden="1"/>
    <col min="10" max="16384" width="9.140625" hidden="1"/>
  </cols>
  <sheetData>
    <row r="1" spans="1:2" ht="27" customHeight="1">
      <c r="A1" s="5" t="s">
        <v>4</v>
      </c>
      <c r="B1" s="47" t="s">
        <v>34</v>
      </c>
    </row>
    <row r="2" spans="1:2" ht="27" customHeight="1">
      <c r="A2" s="5" t="s">
        <v>3</v>
      </c>
      <c r="B2" s="7">
        <v>12345</v>
      </c>
    </row>
    <row r="3" spans="1:2" ht="27" customHeight="1">
      <c r="A3" s="5" t="s">
        <v>2</v>
      </c>
      <c r="B3" s="6">
        <v>42755</v>
      </c>
    </row>
    <row r="4" spans="1:2" hidden="1">
      <c r="A4" s="5"/>
      <c r="B4" s="24" t="s">
        <v>0</v>
      </c>
    </row>
    <row r="5" spans="1:2" hidden="1"/>
    <row r="6" spans="1:2" ht="38.25" hidden="1" customHeight="1">
      <c r="A6" s="4" t="s">
        <v>1</v>
      </c>
    </row>
    <row r="7" spans="1:2" ht="42.75" hidden="1" customHeight="1"/>
    <row r="8" spans="1:2" ht="35.25" hidden="1" customHeight="1">
      <c r="B8">
        <f>B2/10000</f>
        <v>1.2344999999999999</v>
      </c>
    </row>
    <row r="9" spans="1:2" hidden="1">
      <c r="B9">
        <f>TRUNC(B8)</f>
        <v>1</v>
      </c>
    </row>
    <row r="10" spans="1:2" hidden="1">
      <c r="B10">
        <f>B2/1000</f>
        <v>12.345000000000001</v>
      </c>
    </row>
    <row r="11" spans="1:2" hidden="1">
      <c r="B11">
        <f>TRUNC(B10)</f>
        <v>12</v>
      </c>
    </row>
    <row r="12" spans="1:2" hidden="1">
      <c r="B12">
        <f>B11-(B9*10)</f>
        <v>2</v>
      </c>
    </row>
    <row r="13" spans="1:2" hidden="1">
      <c r="B13">
        <f>B2/100</f>
        <v>123.45</v>
      </c>
    </row>
    <row r="14" spans="1:2" hidden="1">
      <c r="B14">
        <f>TRUNC(B13)</f>
        <v>123</v>
      </c>
    </row>
    <row r="15" spans="1:2" hidden="1">
      <c r="B15">
        <f>B14-(B11*10)</f>
        <v>3</v>
      </c>
    </row>
    <row r="16" spans="1:2" hidden="1">
      <c r="B16">
        <f>B2/10</f>
        <v>1234.5</v>
      </c>
    </row>
    <row r="17" spans="1:3" hidden="1">
      <c r="B17">
        <f>TRUNC(B16)</f>
        <v>1234</v>
      </c>
    </row>
    <row r="18" spans="1:3" hidden="1">
      <c r="B18">
        <f>B17-(B14*10)</f>
        <v>4</v>
      </c>
    </row>
    <row r="19" spans="1:3" hidden="1">
      <c r="B19">
        <f>B2</f>
        <v>12345</v>
      </c>
    </row>
    <row r="20" spans="1:3" hidden="1">
      <c r="B20">
        <f>TRUNC(B19)</f>
        <v>12345</v>
      </c>
    </row>
    <row r="21" spans="1:3" hidden="1">
      <c r="B21">
        <f>B20-(B17*10)</f>
        <v>5</v>
      </c>
    </row>
    <row r="22" spans="1:3" hidden="1"/>
    <row r="23" spans="1:3" hidden="1">
      <c r="B23">
        <f>B9+B12+B15+B18+B21</f>
        <v>15</v>
      </c>
    </row>
    <row r="24" spans="1:3" hidden="1"/>
    <row r="25" spans="1:3" hidden="1"/>
    <row r="26" spans="1:3" hidden="1">
      <c r="A26">
        <v>1</v>
      </c>
      <c r="B26">
        <v>6</v>
      </c>
      <c r="C26">
        <f t="shared" ref="C26:C70" si="0">IF(A26=$B$23,B26,0)</f>
        <v>0</v>
      </c>
    </row>
    <row r="27" spans="1:3" hidden="1">
      <c r="A27">
        <v>2</v>
      </c>
      <c r="B27">
        <v>4</v>
      </c>
      <c r="C27">
        <f t="shared" si="0"/>
        <v>0</v>
      </c>
    </row>
    <row r="28" spans="1:3" hidden="1">
      <c r="A28">
        <v>3</v>
      </c>
      <c r="B28">
        <v>3</v>
      </c>
      <c r="C28">
        <f t="shared" si="0"/>
        <v>0</v>
      </c>
    </row>
    <row r="29" spans="1:3" hidden="1">
      <c r="A29">
        <v>4</v>
      </c>
      <c r="B29">
        <v>2</v>
      </c>
      <c r="C29">
        <f t="shared" si="0"/>
        <v>0</v>
      </c>
    </row>
    <row r="30" spans="1:3" hidden="1">
      <c r="A30">
        <v>5</v>
      </c>
      <c r="B30">
        <v>6</v>
      </c>
      <c r="C30">
        <f t="shared" si="0"/>
        <v>0</v>
      </c>
    </row>
    <row r="31" spans="1:3" hidden="1">
      <c r="A31">
        <v>6</v>
      </c>
      <c r="B31">
        <v>2</v>
      </c>
      <c r="C31">
        <f t="shared" si="0"/>
        <v>0</v>
      </c>
    </row>
    <row r="32" spans="1:3" hidden="1">
      <c r="A32">
        <v>7</v>
      </c>
      <c r="B32">
        <v>1</v>
      </c>
      <c r="C32">
        <f t="shared" si="0"/>
        <v>0</v>
      </c>
    </row>
    <row r="33" spans="1:3" hidden="1">
      <c r="A33">
        <v>8</v>
      </c>
      <c r="B33">
        <v>1</v>
      </c>
      <c r="C33">
        <f t="shared" si="0"/>
        <v>0</v>
      </c>
    </row>
    <row r="34" spans="1:3" hidden="1">
      <c r="A34">
        <v>9</v>
      </c>
      <c r="B34">
        <v>3</v>
      </c>
      <c r="C34">
        <f t="shared" si="0"/>
        <v>0</v>
      </c>
    </row>
    <row r="35" spans="1:3" hidden="1">
      <c r="A35">
        <v>10</v>
      </c>
      <c r="B35">
        <v>6</v>
      </c>
      <c r="C35">
        <f t="shared" si="0"/>
        <v>0</v>
      </c>
    </row>
    <row r="36" spans="1:3" hidden="1">
      <c r="A36">
        <v>11</v>
      </c>
      <c r="B36">
        <v>1</v>
      </c>
      <c r="C36">
        <f t="shared" si="0"/>
        <v>0</v>
      </c>
    </row>
    <row r="37" spans="1:3" hidden="1">
      <c r="A37">
        <v>12</v>
      </c>
      <c r="B37">
        <v>2</v>
      </c>
      <c r="C37">
        <f t="shared" si="0"/>
        <v>0</v>
      </c>
    </row>
    <row r="38" spans="1:3" hidden="1">
      <c r="A38">
        <v>13</v>
      </c>
      <c r="B38">
        <v>3</v>
      </c>
      <c r="C38">
        <f t="shared" si="0"/>
        <v>0</v>
      </c>
    </row>
    <row r="39" spans="1:3" hidden="1">
      <c r="A39">
        <v>14</v>
      </c>
      <c r="B39">
        <v>4</v>
      </c>
      <c r="C39">
        <f t="shared" si="0"/>
        <v>0</v>
      </c>
    </row>
    <row r="40" spans="1:3" hidden="1">
      <c r="A40">
        <v>15</v>
      </c>
      <c r="B40">
        <v>3</v>
      </c>
      <c r="C40">
        <f t="shared" si="0"/>
        <v>3</v>
      </c>
    </row>
    <row r="41" spans="1:3" hidden="1">
      <c r="A41">
        <v>16</v>
      </c>
      <c r="B41">
        <v>7</v>
      </c>
      <c r="C41">
        <f t="shared" si="0"/>
        <v>0</v>
      </c>
    </row>
    <row r="42" spans="1:3" hidden="1">
      <c r="A42">
        <v>17</v>
      </c>
      <c r="B42">
        <v>8</v>
      </c>
      <c r="C42">
        <f t="shared" si="0"/>
        <v>0</v>
      </c>
    </row>
    <row r="43" spans="1:3" hidden="1">
      <c r="A43">
        <v>18</v>
      </c>
      <c r="B43">
        <v>9</v>
      </c>
      <c r="C43">
        <f t="shared" si="0"/>
        <v>0</v>
      </c>
    </row>
    <row r="44" spans="1:3" hidden="1">
      <c r="A44">
        <v>19</v>
      </c>
      <c r="B44">
        <v>5</v>
      </c>
      <c r="C44">
        <f t="shared" si="0"/>
        <v>0</v>
      </c>
    </row>
    <row r="45" spans="1:3" hidden="1">
      <c r="A45">
        <v>20</v>
      </c>
      <c r="B45">
        <v>3</v>
      </c>
      <c r="C45">
        <f t="shared" si="0"/>
        <v>0</v>
      </c>
    </row>
    <row r="46" spans="1:3" hidden="1">
      <c r="A46">
        <v>21</v>
      </c>
      <c r="B46">
        <v>5</v>
      </c>
      <c r="C46">
        <f t="shared" si="0"/>
        <v>0</v>
      </c>
    </row>
    <row r="47" spans="1:3" hidden="1">
      <c r="A47">
        <v>22</v>
      </c>
      <c r="B47">
        <v>7</v>
      </c>
      <c r="C47">
        <f t="shared" si="0"/>
        <v>0</v>
      </c>
    </row>
    <row r="48" spans="1:3" hidden="1">
      <c r="A48">
        <v>23</v>
      </c>
      <c r="B48">
        <v>3</v>
      </c>
      <c r="C48">
        <f t="shared" si="0"/>
        <v>0</v>
      </c>
    </row>
    <row r="49" spans="1:3" hidden="1">
      <c r="A49">
        <v>24</v>
      </c>
      <c r="B49">
        <v>6</v>
      </c>
      <c r="C49">
        <f t="shared" si="0"/>
        <v>0</v>
      </c>
    </row>
    <row r="50" spans="1:3" hidden="1">
      <c r="A50">
        <v>25</v>
      </c>
      <c r="B50">
        <v>7</v>
      </c>
      <c r="C50">
        <f t="shared" si="0"/>
        <v>0</v>
      </c>
    </row>
    <row r="51" spans="1:3" hidden="1">
      <c r="A51">
        <v>26</v>
      </c>
      <c r="B51">
        <v>8</v>
      </c>
      <c r="C51">
        <f t="shared" si="0"/>
        <v>0</v>
      </c>
    </row>
    <row r="52" spans="1:3" hidden="1">
      <c r="A52">
        <v>27</v>
      </c>
      <c r="B52">
        <v>2</v>
      </c>
      <c r="C52">
        <f t="shared" si="0"/>
        <v>0</v>
      </c>
    </row>
    <row r="53" spans="1:3" hidden="1">
      <c r="A53">
        <v>28</v>
      </c>
      <c r="B53">
        <v>5</v>
      </c>
      <c r="C53">
        <f t="shared" si="0"/>
        <v>0</v>
      </c>
    </row>
    <row r="54" spans="1:3" hidden="1">
      <c r="A54">
        <v>29</v>
      </c>
      <c r="B54">
        <v>7</v>
      </c>
      <c r="C54">
        <f t="shared" si="0"/>
        <v>0</v>
      </c>
    </row>
    <row r="55" spans="1:3" hidden="1">
      <c r="A55">
        <v>30</v>
      </c>
      <c r="B55">
        <v>4</v>
      </c>
      <c r="C55">
        <f t="shared" si="0"/>
        <v>0</v>
      </c>
    </row>
    <row r="56" spans="1:3" hidden="1">
      <c r="A56">
        <v>31</v>
      </c>
      <c r="B56">
        <v>5</v>
      </c>
      <c r="C56">
        <f t="shared" si="0"/>
        <v>0</v>
      </c>
    </row>
    <row r="57" spans="1:3" hidden="1">
      <c r="A57">
        <v>32</v>
      </c>
      <c r="B57">
        <v>7</v>
      </c>
      <c r="C57">
        <f t="shared" si="0"/>
        <v>0</v>
      </c>
    </row>
    <row r="58" spans="1:3" hidden="1">
      <c r="A58">
        <v>33</v>
      </c>
      <c r="B58">
        <v>8</v>
      </c>
      <c r="C58">
        <f t="shared" si="0"/>
        <v>0</v>
      </c>
    </row>
    <row r="59" spans="1:3" hidden="1">
      <c r="A59">
        <v>34</v>
      </c>
      <c r="B59">
        <v>9</v>
      </c>
      <c r="C59">
        <f t="shared" si="0"/>
        <v>0</v>
      </c>
    </row>
    <row r="60" spans="1:3" hidden="1">
      <c r="A60">
        <v>35</v>
      </c>
      <c r="B60">
        <v>5</v>
      </c>
      <c r="C60">
        <f t="shared" si="0"/>
        <v>0</v>
      </c>
    </row>
    <row r="61" spans="1:3" hidden="1">
      <c r="A61">
        <v>36</v>
      </c>
      <c r="B61">
        <v>3</v>
      </c>
      <c r="C61">
        <f t="shared" si="0"/>
        <v>0</v>
      </c>
    </row>
    <row r="62" spans="1:3" hidden="1">
      <c r="A62">
        <v>37</v>
      </c>
      <c r="B62">
        <v>5</v>
      </c>
      <c r="C62">
        <f t="shared" si="0"/>
        <v>0</v>
      </c>
    </row>
    <row r="63" spans="1:3" hidden="1">
      <c r="A63">
        <v>38</v>
      </c>
      <c r="B63">
        <v>7</v>
      </c>
      <c r="C63">
        <f t="shared" si="0"/>
        <v>0</v>
      </c>
    </row>
    <row r="64" spans="1:3" hidden="1">
      <c r="A64">
        <v>39</v>
      </c>
      <c r="B64">
        <v>3</v>
      </c>
      <c r="C64">
        <f t="shared" si="0"/>
        <v>0</v>
      </c>
    </row>
    <row r="65" spans="1:9" hidden="1">
      <c r="A65">
        <v>40</v>
      </c>
      <c r="B65">
        <v>6</v>
      </c>
      <c r="C65">
        <f t="shared" si="0"/>
        <v>0</v>
      </c>
    </row>
    <row r="66" spans="1:9" hidden="1">
      <c r="A66">
        <v>41</v>
      </c>
      <c r="B66">
        <v>7</v>
      </c>
      <c r="C66">
        <f t="shared" si="0"/>
        <v>0</v>
      </c>
    </row>
    <row r="67" spans="1:9" hidden="1">
      <c r="A67">
        <v>42</v>
      </c>
      <c r="B67">
        <v>8</v>
      </c>
      <c r="C67">
        <f t="shared" si="0"/>
        <v>0</v>
      </c>
    </row>
    <row r="68" spans="1:9" hidden="1">
      <c r="A68">
        <v>43</v>
      </c>
      <c r="B68">
        <v>2</v>
      </c>
      <c r="C68">
        <f t="shared" si="0"/>
        <v>0</v>
      </c>
    </row>
    <row r="69" spans="1:9" hidden="1">
      <c r="A69">
        <v>44</v>
      </c>
      <c r="B69">
        <v>5</v>
      </c>
      <c r="C69">
        <f t="shared" si="0"/>
        <v>0</v>
      </c>
    </row>
    <row r="70" spans="1:9" hidden="1">
      <c r="A70">
        <v>45</v>
      </c>
      <c r="B70">
        <v>7</v>
      </c>
      <c r="C70">
        <f t="shared" si="0"/>
        <v>0</v>
      </c>
      <c r="D70">
        <f>B18</f>
        <v>4</v>
      </c>
    </row>
    <row r="71" spans="1:9" hidden="1">
      <c r="A71" s="11" t="s">
        <v>5</v>
      </c>
      <c r="C71" s="3">
        <f>SUM(C26:C70)</f>
        <v>3</v>
      </c>
      <c r="D71" s="3">
        <f>(C71*10)+C72</f>
        <v>36</v>
      </c>
      <c r="E71" s="3">
        <f>(D71*10)+D70</f>
        <v>364</v>
      </c>
      <c r="F71" s="3">
        <f>IF((C71+D71+E71)*10&lt;10000,(C71+D71+E71)*10,9434)</f>
        <v>4030</v>
      </c>
      <c r="G71" s="3">
        <f>B19</f>
        <v>12345</v>
      </c>
      <c r="H71" s="3">
        <f>G71*4</f>
        <v>49380</v>
      </c>
    </row>
    <row r="72" spans="1:9" hidden="1">
      <c r="C72" s="3">
        <f>IF(C71&lt;5, C71*2,9)</f>
        <v>6</v>
      </c>
      <c r="D72" s="3">
        <f t="shared" ref="D72:D74" si="1">(C72*10)+C73</f>
        <v>69</v>
      </c>
      <c r="E72" s="3">
        <f>(D72*10)+D70</f>
        <v>694</v>
      </c>
      <c r="F72" s="3">
        <f>IF((C72+D72+E72)*10&lt;10000,(C72+D72+E72)*10,7165)</f>
        <v>7690</v>
      </c>
      <c r="G72" s="3">
        <f>G71*2</f>
        <v>24690</v>
      </c>
      <c r="H72" s="3">
        <f>H71*2</f>
        <v>98760</v>
      </c>
    </row>
    <row r="73" spans="1:9" hidden="1">
      <c r="C73" s="3">
        <f>IF(C71&lt;4,C71*3,2)</f>
        <v>9</v>
      </c>
      <c r="D73" s="3">
        <f t="shared" si="1"/>
        <v>97</v>
      </c>
      <c r="E73" s="3">
        <f t="shared" ref="E73:E74" si="2">(D73*10)+D72</f>
        <v>1039</v>
      </c>
      <c r="F73" s="3">
        <f>IF((C73+D73+E73)*10&lt;10000,(C73+D73+E73)*10,3467)</f>
        <v>3467</v>
      </c>
      <c r="G73" s="3">
        <f t="shared" ref="G73:G74" si="3">G72*2</f>
        <v>49380</v>
      </c>
      <c r="H73" s="3">
        <f t="shared" ref="H73:H74" si="4">H72*2</f>
        <v>197520</v>
      </c>
    </row>
    <row r="74" spans="1:9" hidden="1">
      <c r="C74" s="3">
        <f>IF((C72-C73&gt;0),C72-C73,7)</f>
        <v>7</v>
      </c>
      <c r="D74" s="3">
        <f t="shared" si="1"/>
        <v>73</v>
      </c>
      <c r="E74" s="3">
        <f t="shared" si="2"/>
        <v>827</v>
      </c>
      <c r="F74" s="3">
        <f>IF((C74+D74+E74)*10&lt;10000,(C74+D74+E74)*10,1818)</f>
        <v>9070</v>
      </c>
      <c r="G74" s="3">
        <f t="shared" si="3"/>
        <v>98760</v>
      </c>
      <c r="H74" s="3">
        <f t="shared" si="4"/>
        <v>395040</v>
      </c>
    </row>
    <row r="75" spans="1:9" hidden="1">
      <c r="C75" s="2">
        <f>B15</f>
        <v>3</v>
      </c>
      <c r="D75" s="2"/>
      <c r="E75" s="2"/>
      <c r="F75" s="2"/>
      <c r="G75" s="2"/>
      <c r="H75" s="2"/>
      <c r="I75" s="1"/>
    </row>
    <row r="76" spans="1:9" hidden="1">
      <c r="C76" s="2"/>
      <c r="D76" s="2"/>
      <c r="E76" s="2"/>
      <c r="F76" s="2"/>
      <c r="G76" s="2"/>
      <c r="H76" s="2"/>
      <c r="I76" s="1"/>
    </row>
    <row r="77" spans="1:9" hidden="1">
      <c r="C77" s="3">
        <f>C71*2</f>
        <v>6</v>
      </c>
      <c r="D77" s="3">
        <f t="shared" ref="D77:H77" si="5">D71*2</f>
        <v>72</v>
      </c>
      <c r="E77" s="3">
        <f t="shared" si="5"/>
        <v>728</v>
      </c>
      <c r="F77" s="3">
        <f t="shared" si="5"/>
        <v>8060</v>
      </c>
      <c r="G77" s="3">
        <f t="shared" si="5"/>
        <v>24690</v>
      </c>
      <c r="H77" s="3">
        <f t="shared" si="5"/>
        <v>98760</v>
      </c>
      <c r="I77" s="1"/>
    </row>
    <row r="78" spans="1:9" hidden="1">
      <c r="C78" s="3">
        <f t="shared" ref="C78:H78" si="6">C72*2</f>
        <v>12</v>
      </c>
      <c r="D78" s="3">
        <f t="shared" si="6"/>
        <v>138</v>
      </c>
      <c r="E78" s="3">
        <f t="shared" si="6"/>
        <v>1388</v>
      </c>
      <c r="F78" s="3">
        <f t="shared" si="6"/>
        <v>15380</v>
      </c>
      <c r="G78" s="3">
        <f t="shared" si="6"/>
        <v>49380</v>
      </c>
      <c r="H78" s="3">
        <f t="shared" si="6"/>
        <v>197520</v>
      </c>
      <c r="I78" s="1"/>
    </row>
    <row r="79" spans="1:9" hidden="1">
      <c r="C79" s="3">
        <f t="shared" ref="C79:H79" si="7">C73*2</f>
        <v>18</v>
      </c>
      <c r="D79" s="3">
        <f t="shared" si="7"/>
        <v>194</v>
      </c>
      <c r="E79" s="3">
        <f t="shared" si="7"/>
        <v>2078</v>
      </c>
      <c r="F79" s="3">
        <f t="shared" si="7"/>
        <v>6934</v>
      </c>
      <c r="G79" s="3">
        <f t="shared" si="7"/>
        <v>98760</v>
      </c>
      <c r="H79" s="3">
        <f t="shared" si="7"/>
        <v>395040</v>
      </c>
      <c r="I79" s="1"/>
    </row>
    <row r="80" spans="1:9" hidden="1">
      <c r="C80" s="3">
        <f t="shared" ref="C80:H80" si="8">C74*2</f>
        <v>14</v>
      </c>
      <c r="D80" s="3">
        <f t="shared" si="8"/>
        <v>146</v>
      </c>
      <c r="E80" s="3">
        <f t="shared" si="8"/>
        <v>1654</v>
      </c>
      <c r="F80" s="3">
        <f t="shared" si="8"/>
        <v>18140</v>
      </c>
      <c r="G80" s="3">
        <f t="shared" si="8"/>
        <v>197520</v>
      </c>
      <c r="H80" s="3">
        <f t="shared" si="8"/>
        <v>790080</v>
      </c>
      <c r="I80" s="1"/>
    </row>
    <row r="81" spans="3:9" hidden="1">
      <c r="C81" s="1"/>
      <c r="D81" s="1"/>
      <c r="E81" s="1"/>
      <c r="F81" s="1"/>
      <c r="G81" s="1"/>
      <c r="H81" s="1"/>
      <c r="I81" s="1"/>
    </row>
    <row r="82" spans="3:9" hidden="1">
      <c r="C82" s="1"/>
      <c r="D82" s="1"/>
      <c r="E82" s="1"/>
      <c r="F82" s="1"/>
      <c r="G82" s="1"/>
      <c r="H82" s="1"/>
      <c r="I82" s="1"/>
    </row>
  </sheetData>
  <sheetProtection algorithmName="SHA-512" hashValue="cSDWC9ICm60DnA+7eKNrAueyVFSoMveE4Zlygv2J7KHxz8yc8hNGnKmPU/oyfKROSWx1CGKOGalZBIpURd2wPw==" saltValue="DvMBMiv6ucTahORfN8XFCA==" spinCount="100000" sheet="1" objects="1" scenarios="1" selectLockedCells="1"/>
  <pageMargins left="0.7" right="0.7" top="0.75" bottom="0.75" header="0.3" footer="0.3"/>
  <pageSetup orientation="portrait"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F102"/>
  <sheetViews>
    <sheetView showGridLines="0" zoomScaleNormal="100" workbookViewId="0"/>
  </sheetViews>
  <sheetFormatPr defaultColWidth="0" defaultRowHeight="12.75" zeroHeight="1"/>
  <cols>
    <col min="1" max="1" width="5.5703125" style="8" customWidth="1"/>
    <col min="2" max="2" width="10.85546875" style="8" customWidth="1"/>
    <col min="3" max="3" width="52.5703125" style="8" customWidth="1"/>
    <col min="4" max="4" width="3.7109375" style="8" customWidth="1"/>
    <col min="5" max="5" width="17.5703125" style="8" customWidth="1"/>
    <col min="6" max="6" width="3.7109375" style="8" customWidth="1"/>
    <col min="7" max="7" width="17.42578125" style="8" customWidth="1"/>
    <col min="8" max="8" width="4.28515625" style="8" customWidth="1"/>
    <col min="9" max="9" width="8.85546875" style="8" customWidth="1"/>
    <col min="10" max="11" width="8.85546875" style="8" hidden="1"/>
    <col min="12" max="12" width="23.7109375" style="8" hidden="1"/>
    <col min="13" max="13" width="15.140625" style="8" hidden="1"/>
    <col min="14" max="14" width="15" style="8" hidden="1"/>
    <col min="15" max="15" width="13.5703125" style="8" hidden="1"/>
    <col min="16" max="16" width="14.85546875" style="8" hidden="1"/>
    <col min="17" max="17" width="11.42578125" style="8" hidden="1"/>
    <col min="18" max="18" width="11.5703125" style="8" hidden="1"/>
    <col min="19" max="19" width="18.7109375" style="8" hidden="1"/>
    <col min="20" max="20" width="18" style="8" hidden="1"/>
    <col min="21" max="21" width="13.85546875" style="8" hidden="1"/>
    <col min="22" max="22" width="8.85546875" style="8" hidden="1"/>
    <col min="23" max="23" width="13.28515625" style="8" hidden="1"/>
    <col min="24" max="24" width="14.42578125" style="8" hidden="1"/>
    <col min="25" max="25" width="12.5703125" style="8" hidden="1"/>
    <col min="26" max="26" width="15.42578125" style="8" hidden="1"/>
    <col min="27" max="27" width="15" style="8" hidden="1"/>
    <col min="28" max="28" width="8.85546875" style="8" hidden="1"/>
    <col min="29" max="29" width="12.5703125" style="8" hidden="1"/>
    <col min="30" max="30" width="14.85546875" style="8" hidden="1"/>
    <col min="31" max="31" width="15.140625" style="8" hidden="1"/>
    <col min="32" max="32" width="86.5703125" style="8" hidden="1"/>
    <col min="33" max="51" width="8.85546875" style="8" hidden="1"/>
    <col min="52" max="52" width="19.7109375" style="8" hidden="1"/>
    <col min="53" max="53" width="8.85546875" style="8" hidden="1"/>
    <col min="54" max="54" width="12.140625" style="8" hidden="1"/>
    <col min="55" max="55" width="17.7109375" style="8" hidden="1"/>
    <col min="56" max="56" width="11.140625" style="8" hidden="1"/>
    <col min="57" max="57" width="15" style="8" hidden="1"/>
    <col min="58" max="58" width="81.7109375" style="8" hidden="1"/>
    <col min="59" max="79" width="8.85546875" style="8" hidden="1"/>
    <col min="80" max="80" width="126.42578125" style="8" hidden="1"/>
    <col min="81" max="105" width="8.85546875" style="8" hidden="1"/>
    <col min="106" max="106" width="85.7109375" style="8" hidden="1"/>
    <col min="107" max="16384" width="8.85546875" style="8" hidden="1"/>
  </cols>
  <sheetData>
    <row r="1" spans="1:110"/>
    <row r="2" spans="1:110" s="12" customFormat="1" ht="46.5" customHeight="1">
      <c r="A2" s="82" t="str">
        <f>CONCATENATE(N37&amp;"  "&amp;N38&amp;"  "&amp;N39)</f>
        <v>Enter Name Corporation received its August 31 bank statement.  The bank statement showed a balance of $395,040.00.  This amount was less than the balance in the general ledger cash account by $12,498.00.</v>
      </c>
      <c r="B2" s="82"/>
      <c r="C2" s="82"/>
      <c r="D2" s="82"/>
      <c r="E2" s="82"/>
      <c r="F2" s="82"/>
      <c r="G2" s="82"/>
      <c r="H2" s="16"/>
      <c r="I2" s="16"/>
      <c r="J2" s="16"/>
      <c r="K2" s="16"/>
      <c r="L2" s="16"/>
      <c r="M2" s="16"/>
      <c r="N2" s="17"/>
      <c r="O2" s="16"/>
      <c r="P2" s="16"/>
      <c r="Q2" s="18"/>
      <c r="R2" s="16"/>
      <c r="S2" s="16"/>
      <c r="T2" s="16"/>
      <c r="U2" s="16"/>
      <c r="V2" s="16"/>
      <c r="W2" s="16"/>
      <c r="X2" s="16"/>
      <c r="Y2" s="16"/>
      <c r="Z2" s="16"/>
      <c r="AA2" s="19"/>
      <c r="AB2" s="16"/>
      <c r="AC2" s="17"/>
      <c r="AD2" s="16"/>
      <c r="AE2" s="20"/>
      <c r="AF2" s="18"/>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7" t="e">
        <f>ROUND(#REF!/7,0)</f>
        <v>#REF!</v>
      </c>
      <c r="BZ2" s="16" t="e">
        <f>TEXT(BY2, "$#,###,###")</f>
        <v>#REF!</v>
      </c>
      <c r="CA2" s="16" t="e">
        <f>IF(#REF!&lt;3,1,0)</f>
        <v>#REF!</v>
      </c>
      <c r="CB2" s="18" t="e">
        <f>CONCATENATE(Identification!$B$1&amp;" purchased an annual insurance policy on October 1 for "&amp;BZ2&amp;".  On October 1, the policy was initially recorded as prepaid insurance.")</f>
        <v>#REF!</v>
      </c>
      <c r="CC2" s="16"/>
      <c r="CD2" s="16"/>
      <c r="CE2" s="16"/>
      <c r="CF2" s="12" t="e">
        <f>IF(CA2=1,CB2,IF(#REF!=1,#REF!,IF(#REF!=1,#REF!,IF(#REF!=1,#REF!,IF(#REF!=1,#REF!,IF(#REF!=1,#REF!,""))))))</f>
        <v>#REF!</v>
      </c>
      <c r="CX2" s="23" t="e">
        <f>90000*DA2</f>
        <v>#REF!</v>
      </c>
      <c r="CY2" s="14">
        <v>25000</v>
      </c>
      <c r="CZ2" s="12" t="str">
        <f>TEXT(CY2, "$#,###,###")</f>
        <v>$25,000</v>
      </c>
      <c r="DA2" s="12" t="e">
        <f>IF(#REF!&lt;3,1,0)</f>
        <v>#REF!</v>
      </c>
      <c r="DB2" s="13" t="str">
        <f>CONCATENATE("The company began the year with $40,000 of supplies inventory, purchased an additional $75,000 (which was recored as Supplies), and ended the year with "&amp;CZ2&amp;".")</f>
        <v>The company began the year with $40,000 of supplies inventory, purchased an additional $75,000 (which was recored as Supplies), and ended the year with $25,000.</v>
      </c>
      <c r="DF2" s="12" t="e">
        <f>IF(DA2=1,DB2,IF(#REF!=1,#REF!,IF(#REF!=1,#REF!,IF(#REF!=1,#REF!,IF(#REF!=1,#REF!,IF(#REF!=1,#REF!,""))))))</f>
        <v>#REF!</v>
      </c>
    </row>
    <row r="3" spans="1:110" s="12" customFormat="1" ht="51" customHeight="1">
      <c r="A3" s="82" t="str">
        <f>CONCATENATE(N40&amp;"  "&amp;N41)</f>
        <v>Enter Name made a deposit late in the afternoon of August 31 which did not appear on the August 31 bank statement.  The bank routinely notifies customers that deposits after 3 pm will be processed on the next  business day.  The amount of the August 31 deposit was $24,690.00.</v>
      </c>
      <c r="B3" s="82"/>
      <c r="C3" s="82"/>
      <c r="D3" s="82"/>
      <c r="E3" s="82"/>
      <c r="F3" s="82"/>
      <c r="G3" s="82"/>
      <c r="H3" s="16"/>
      <c r="I3" s="16"/>
      <c r="J3" s="16"/>
      <c r="K3" s="16"/>
      <c r="L3" s="27"/>
      <c r="M3" s="30">
        <f>Identification!C71</f>
        <v>3</v>
      </c>
      <c r="N3" s="30">
        <f>Identification!D71</f>
        <v>36</v>
      </c>
      <c r="O3" s="30">
        <f>Identification!E71</f>
        <v>364</v>
      </c>
      <c r="P3" s="30">
        <f>Identification!F71</f>
        <v>4030</v>
      </c>
      <c r="Q3" s="30">
        <f>Identification!G71</f>
        <v>12345</v>
      </c>
      <c r="R3" s="30">
        <f>Identification!H71</f>
        <v>49380</v>
      </c>
      <c r="S3" s="16"/>
      <c r="T3" s="16" t="str">
        <f>IF(M3=1,"Jones",IF(M3=2,"Smith",IF(M3=3,"Zapata",IF(M3=6,"Campisi","Nicholas"))))</f>
        <v>Zapata</v>
      </c>
      <c r="U3" s="16"/>
      <c r="V3" s="16"/>
      <c r="W3" s="16"/>
      <c r="X3" s="16"/>
      <c r="Y3" s="16"/>
      <c r="Z3" s="16"/>
      <c r="AA3" s="19"/>
      <c r="AB3" s="16"/>
      <c r="AC3" s="17"/>
      <c r="AD3" s="16"/>
      <c r="AE3" s="20"/>
      <c r="AF3" s="18"/>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7"/>
      <c r="BZ3" s="16"/>
      <c r="CA3" s="16"/>
      <c r="CB3" s="18"/>
      <c r="CC3" s="16"/>
      <c r="CD3" s="16"/>
      <c r="CE3" s="16"/>
      <c r="CX3" s="23"/>
      <c r="CY3" s="14"/>
      <c r="DB3" s="13"/>
    </row>
    <row r="4" spans="1:110" s="12" customFormat="1" ht="49.5" customHeight="1">
      <c r="A4" s="82" t="str">
        <f>N42</f>
        <v>A note receivable left at the bank for collection from customer Zapata in the amount of $6,000.00 was collected and funds were deposited into the bank account, along with interest income on the note in the amount of $540.00.  Enter Name was first made aware of this collection by review of the August bank statement.</v>
      </c>
      <c r="B4" s="82"/>
      <c r="C4" s="82"/>
      <c r="D4" s="82"/>
      <c r="E4" s="82"/>
      <c r="F4" s="82"/>
      <c r="G4" s="82"/>
      <c r="H4" s="16"/>
      <c r="I4" s="16"/>
      <c r="J4" s="16"/>
      <c r="K4" s="16"/>
      <c r="L4" s="27"/>
      <c r="M4" s="30">
        <f>Identification!C72</f>
        <v>6</v>
      </c>
      <c r="N4" s="30">
        <f>Identification!D72</f>
        <v>69</v>
      </c>
      <c r="O4" s="30">
        <f>Identification!E72</f>
        <v>694</v>
      </c>
      <c r="P4" s="30">
        <f>Identification!F72</f>
        <v>7690</v>
      </c>
      <c r="Q4" s="30">
        <f>Identification!G72</f>
        <v>24690</v>
      </c>
      <c r="R4" s="30">
        <f>Identification!H72</f>
        <v>98760</v>
      </c>
      <c r="S4" s="16"/>
      <c r="T4" s="16"/>
      <c r="U4" s="16"/>
      <c r="V4" s="16"/>
      <c r="W4" s="16"/>
      <c r="X4" s="16"/>
      <c r="Y4" s="16"/>
      <c r="Z4" s="16"/>
      <c r="AA4" s="19"/>
      <c r="AB4" s="16"/>
      <c r="AC4" s="17"/>
      <c r="AD4" s="16"/>
      <c r="AE4" s="20"/>
      <c r="AF4" s="18"/>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7"/>
      <c r="BZ4" s="16"/>
      <c r="CA4" s="16"/>
      <c r="CB4" s="18"/>
      <c r="CC4" s="16"/>
      <c r="CD4" s="16"/>
      <c r="CE4" s="16"/>
      <c r="CX4" s="23"/>
      <c r="CY4" s="14"/>
      <c r="DB4" s="13"/>
    </row>
    <row r="5" spans="1:110" s="12" customFormat="1" ht="44.25" customHeight="1">
      <c r="A5" s="82" t="str">
        <f>CONCATENATE("The bank also credited "&amp;Identification!B1&amp;" Corporation's bank account for interest paid by the bank in the amount of "&amp;P29&amp;".  The monthly bank service fee assessed against the account by the bank totaled "&amp;P25&amp;".")</f>
        <v>The bank also credited Enter Name Corporation's bank account for interest paid by the bank in the amount of $72.00.  The monthly bank service fee assessed against the account by the bank totaled $194.00.</v>
      </c>
      <c r="B5" s="82"/>
      <c r="C5" s="82"/>
      <c r="D5" s="82"/>
      <c r="E5" s="82"/>
      <c r="F5" s="82"/>
      <c r="G5" s="82"/>
      <c r="H5" s="16"/>
      <c r="I5" s="8"/>
      <c r="J5" s="8"/>
      <c r="K5" s="8"/>
      <c r="L5" s="27"/>
      <c r="M5" s="30">
        <f>Identification!C73</f>
        <v>9</v>
      </c>
      <c r="N5" s="30">
        <f>Identification!D73</f>
        <v>97</v>
      </c>
      <c r="O5" s="30">
        <f>Identification!E73</f>
        <v>1039</v>
      </c>
      <c r="P5" s="30">
        <f>Identification!F73</f>
        <v>3467</v>
      </c>
      <c r="Q5" s="30">
        <f>Identification!G73</f>
        <v>49380</v>
      </c>
      <c r="R5" s="30">
        <f>Identification!H73</f>
        <v>197520</v>
      </c>
      <c r="S5" s="16"/>
      <c r="T5" s="19"/>
      <c r="U5" s="19"/>
      <c r="V5" s="16"/>
      <c r="W5" s="16"/>
      <c r="X5" s="16"/>
      <c r="Y5" s="16"/>
      <c r="Z5" s="16"/>
      <c r="AA5" s="16"/>
      <c r="AB5" s="16"/>
      <c r="AC5" s="21"/>
      <c r="AD5" s="16"/>
      <c r="AE5" s="16"/>
      <c r="AF5" s="18"/>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c r="BT5" s="16"/>
      <c r="BU5" s="16"/>
      <c r="BV5" s="16"/>
      <c r="BW5" s="16"/>
      <c r="BX5" s="16"/>
      <c r="BY5" s="21"/>
      <c r="BZ5" s="16"/>
      <c r="CA5" s="16"/>
      <c r="CB5" s="16"/>
      <c r="CC5" s="16"/>
      <c r="CD5" s="16"/>
      <c r="CE5" s="16"/>
      <c r="CF5" s="22" t="e">
        <f>ROUND(BY2,0)*0.75</f>
        <v>#REF!</v>
      </c>
      <c r="CG5" s="22" t="e">
        <f>CF5*AB2</f>
        <v>#REF!</v>
      </c>
      <c r="CY5" s="15"/>
    </row>
    <row r="6" spans="1:110" s="12" customFormat="1" ht="39.75" customHeight="1">
      <c r="A6" s="82" t="str">
        <f>CONCATENATE(Identification!B1&amp;" was disappointed to find in that bank statement that an NSF check (hot check) in the amount "&amp;P28&amp;" was charged against the bank account, along with a $25 service charge.")</f>
        <v>Enter Name was disappointed to find in that bank statement that an NSF check (hot check) in the amount $728.00 was charged against the bank account, along with a $25 service charge.</v>
      </c>
      <c r="B6" s="82"/>
      <c r="C6" s="82"/>
      <c r="D6" s="82"/>
      <c r="E6" s="82"/>
      <c r="F6" s="82"/>
      <c r="G6" s="82"/>
      <c r="H6" s="16"/>
      <c r="I6" s="8"/>
      <c r="J6" s="8"/>
      <c r="K6" s="8"/>
      <c r="L6" s="27"/>
      <c r="M6" s="30">
        <f>Identification!C74</f>
        <v>7</v>
      </c>
      <c r="N6" s="30">
        <f>Identification!D74</f>
        <v>73</v>
      </c>
      <c r="O6" s="30">
        <f>Identification!E74</f>
        <v>827</v>
      </c>
      <c r="P6" s="30">
        <f>Identification!F74</f>
        <v>9070</v>
      </c>
      <c r="Q6" s="30">
        <f>Identification!G74</f>
        <v>98760</v>
      </c>
      <c r="R6" s="30">
        <f>Identification!H74</f>
        <v>395040</v>
      </c>
      <c r="S6" s="16"/>
      <c r="T6" s="19"/>
      <c r="U6" s="19"/>
      <c r="V6" s="16"/>
      <c r="W6" s="16"/>
      <c r="X6" s="16"/>
      <c r="Y6" s="16"/>
      <c r="Z6" s="16"/>
      <c r="AA6" s="16"/>
      <c r="AB6" s="16"/>
      <c r="AC6" s="21"/>
      <c r="AD6" s="16"/>
      <c r="AE6" s="16"/>
      <c r="AF6" s="18"/>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21"/>
      <c r="BZ6" s="16"/>
      <c r="CA6" s="16"/>
      <c r="CB6" s="16"/>
      <c r="CC6" s="16"/>
      <c r="CD6" s="16"/>
      <c r="CE6" s="16"/>
      <c r="CF6" s="22"/>
      <c r="CG6" s="22"/>
      <c r="CY6" s="15"/>
    </row>
    <row r="7" spans="1:110" s="12" customFormat="1" ht="45" customHeight="1">
      <c r="A7" s="82" t="str">
        <f>CONCATENATE(Identification!B1&amp;" Corporation has authorized certain automatic payments for utility and credit card bills to be withdrawn from its bank account each month.  The bank statement reveals that these items total "&amp;P31&amp;" for the month of August.")</f>
        <v>Enter Name Corporation has authorized certain automatic payments for utility and credit card bills to be withdrawn from its bank account each month.  The bank statement reveals that these items total $9,070.00 for the month of August.</v>
      </c>
      <c r="B7" s="82"/>
      <c r="C7" s="82"/>
      <c r="D7" s="82"/>
      <c r="E7" s="82"/>
      <c r="F7" s="82"/>
      <c r="G7" s="82"/>
      <c r="H7" s="16"/>
      <c r="I7" s="8"/>
      <c r="J7" s="8"/>
      <c r="K7" s="82" t="str">
        <f>CONCATENATE(Identification!L1&amp;" was disappointed to find in that bank statement that an NSF check (hot check) in the amount "&amp;Z28&amp;" was charged against the bank account, along with a $25 service charge.")</f>
        <v xml:space="preserve"> was disappointed to find in that bank statement that an NSF check (hot check) in the amount  was charged against the bank account, along with a $25 service charge.</v>
      </c>
      <c r="L7" s="82"/>
      <c r="M7" s="82"/>
      <c r="N7" s="82"/>
      <c r="O7" s="82"/>
      <c r="P7" s="82"/>
      <c r="Q7" s="82"/>
      <c r="R7" s="30"/>
      <c r="S7" s="16"/>
      <c r="T7" s="19"/>
      <c r="U7" s="19"/>
      <c r="V7" s="16"/>
      <c r="W7" s="16"/>
      <c r="X7" s="16"/>
      <c r="Y7" s="16"/>
      <c r="Z7" s="16"/>
      <c r="AA7" s="16"/>
      <c r="AB7" s="16"/>
      <c r="AC7" s="21"/>
      <c r="AD7" s="16"/>
      <c r="AE7" s="16"/>
      <c r="AF7" s="18"/>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21"/>
      <c r="BZ7" s="16"/>
      <c r="CA7" s="16"/>
      <c r="CB7" s="16"/>
      <c r="CC7" s="16"/>
      <c r="CD7" s="16"/>
      <c r="CE7" s="16"/>
      <c r="CF7" s="22"/>
      <c r="CG7" s="22"/>
      <c r="CY7" s="15"/>
    </row>
    <row r="8" spans="1:110" s="12" customFormat="1" ht="31.5" customHeight="1">
      <c r="A8" s="83" t="s">
        <v>27</v>
      </c>
      <c r="B8" s="83"/>
      <c r="C8" s="83"/>
      <c r="D8" s="83"/>
      <c r="E8" s="83"/>
      <c r="F8" s="83"/>
      <c r="G8" s="83"/>
      <c r="H8" s="16"/>
      <c r="I8" s="10"/>
      <c r="J8" s="10"/>
      <c r="K8" s="10"/>
      <c r="L8" s="27"/>
      <c r="M8" s="30"/>
      <c r="N8" s="30"/>
      <c r="O8" s="30"/>
      <c r="P8" s="30"/>
      <c r="Q8" s="30"/>
      <c r="R8" s="30"/>
      <c r="S8" s="16"/>
      <c r="T8" s="19"/>
      <c r="U8" s="19"/>
      <c r="V8" s="16"/>
      <c r="W8" s="16"/>
      <c r="X8" s="16"/>
      <c r="Y8" s="16"/>
      <c r="Z8" s="16"/>
      <c r="AA8" s="16"/>
      <c r="AB8" s="16"/>
      <c r="AC8" s="21"/>
      <c r="AD8" s="16"/>
      <c r="AE8" s="16"/>
      <c r="AF8" s="18"/>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21"/>
      <c r="BZ8" s="16"/>
      <c r="CA8" s="16"/>
      <c r="CB8" s="16"/>
      <c r="CC8" s="16"/>
      <c r="CD8" s="16"/>
      <c r="CE8" s="16"/>
      <c r="CF8" s="22">
        <f>ROUND(BY32,0)*0.75</f>
        <v>0</v>
      </c>
      <c r="CG8" s="22">
        <f>CF8*AB32</f>
        <v>0</v>
      </c>
      <c r="CY8" s="15"/>
    </row>
    <row r="9" spans="1:110" s="12" customFormat="1" ht="22.5" customHeight="1">
      <c r="A9" s="83" t="str">
        <f>CONCATENATE("Check number "&amp;N18&amp;" in the amount of "&amp;P18&amp;".")</f>
        <v>Check number 123 in the amount of $7,690.00.</v>
      </c>
      <c r="B9" s="83"/>
      <c r="C9" s="83"/>
      <c r="D9" s="83"/>
      <c r="E9" s="83"/>
      <c r="F9" s="83"/>
      <c r="G9" s="83"/>
      <c r="H9" s="16"/>
      <c r="I9" s="16"/>
      <c r="J9" s="16"/>
      <c r="K9" s="16"/>
      <c r="L9" s="25"/>
      <c r="M9" s="30">
        <f>Identification!C77</f>
        <v>6</v>
      </c>
      <c r="N9" s="30">
        <f>Identification!D77</f>
        <v>72</v>
      </c>
      <c r="O9" s="30">
        <f>Identification!E77</f>
        <v>728</v>
      </c>
      <c r="P9" s="30">
        <f>Identification!F77</f>
        <v>8060</v>
      </c>
      <c r="Q9" s="30">
        <f>Identification!G77</f>
        <v>24690</v>
      </c>
      <c r="R9" s="30">
        <f>Identification!H77</f>
        <v>98760</v>
      </c>
      <c r="S9" s="16"/>
      <c r="T9" s="16"/>
      <c r="U9" s="16"/>
      <c r="V9" s="16"/>
      <c r="W9" s="16"/>
      <c r="X9" s="16"/>
      <c r="Y9" s="16"/>
      <c r="Z9" s="16"/>
      <c r="AA9" s="19"/>
      <c r="AB9" s="16"/>
      <c r="AC9" s="17"/>
      <c r="AD9" s="16"/>
      <c r="AE9" s="20"/>
      <c r="AF9" s="18"/>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7"/>
      <c r="BZ9" s="16"/>
      <c r="CA9" s="16"/>
      <c r="CB9" s="18"/>
      <c r="CC9" s="16"/>
      <c r="CD9" s="16"/>
      <c r="CE9" s="16"/>
      <c r="CX9" s="23"/>
      <c r="CY9" s="14"/>
      <c r="DB9" s="13"/>
    </row>
    <row r="10" spans="1:110" s="12" customFormat="1" ht="22.5" customHeight="1">
      <c r="A10" s="83" t="str">
        <f t="shared" ref="A10:A12" si="0">CONCATENATE("Check number "&amp;N19&amp;" in the amount of "&amp;P19&amp;".")</f>
        <v>Check number 127 in the amount of $827.00.</v>
      </c>
      <c r="B10" s="83"/>
      <c r="C10" s="83"/>
      <c r="D10" s="83"/>
      <c r="E10" s="83"/>
      <c r="F10" s="83"/>
      <c r="G10" s="83"/>
      <c r="H10" s="16"/>
      <c r="I10" s="16"/>
      <c r="J10" s="16"/>
      <c r="K10" s="16"/>
      <c r="L10" s="25"/>
      <c r="M10" s="30">
        <f>Identification!C78</f>
        <v>12</v>
      </c>
      <c r="N10" s="30">
        <f>Identification!D78</f>
        <v>138</v>
      </c>
      <c r="O10" s="30">
        <f>Identification!E78</f>
        <v>1388</v>
      </c>
      <c r="P10" s="30">
        <f>Identification!F78</f>
        <v>15380</v>
      </c>
      <c r="Q10" s="30">
        <f>Identification!G78</f>
        <v>49380</v>
      </c>
      <c r="R10" s="30">
        <f>Identification!H78</f>
        <v>197520</v>
      </c>
      <c r="S10" s="16"/>
      <c r="T10" s="16"/>
      <c r="U10" s="16"/>
      <c r="V10" s="16"/>
      <c r="W10" s="16"/>
      <c r="X10" s="16"/>
      <c r="Y10" s="16"/>
      <c r="Z10" s="16"/>
      <c r="AA10" s="19"/>
      <c r="AB10" s="16"/>
      <c r="AC10" s="17"/>
      <c r="AD10" s="16"/>
      <c r="AE10" s="20"/>
      <c r="AF10" s="18"/>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7"/>
      <c r="BZ10" s="16"/>
      <c r="CA10" s="16"/>
      <c r="CB10" s="18"/>
      <c r="CC10" s="16"/>
      <c r="CD10" s="16"/>
      <c r="CE10" s="16"/>
      <c r="CX10" s="23"/>
      <c r="CY10" s="14"/>
      <c r="DB10" s="13"/>
    </row>
    <row r="11" spans="1:110" s="12" customFormat="1" ht="22.5" customHeight="1">
      <c r="A11" s="83" t="str">
        <f t="shared" si="0"/>
        <v>Check number 128 in the amount of $6,934.00.</v>
      </c>
      <c r="B11" s="83"/>
      <c r="C11" s="83"/>
      <c r="D11" s="83"/>
      <c r="E11" s="83"/>
      <c r="F11" s="83"/>
      <c r="G11" s="83"/>
      <c r="H11" s="16"/>
      <c r="I11" s="16"/>
      <c r="J11" s="16"/>
      <c r="K11" s="16"/>
      <c r="L11" s="16"/>
      <c r="M11" s="30">
        <f>Identification!C79</f>
        <v>18</v>
      </c>
      <c r="N11" s="30">
        <f>Identification!D79</f>
        <v>194</v>
      </c>
      <c r="O11" s="30">
        <f>Identification!E79</f>
        <v>2078</v>
      </c>
      <c r="P11" s="30">
        <f>Identification!F79</f>
        <v>6934</v>
      </c>
      <c r="Q11" s="30">
        <f>Identification!G79</f>
        <v>98760</v>
      </c>
      <c r="R11" s="30">
        <f>Identification!H79</f>
        <v>395040</v>
      </c>
      <c r="S11" s="16"/>
      <c r="T11" s="16"/>
      <c r="U11" s="16"/>
      <c r="V11" s="16"/>
      <c r="W11" s="16"/>
      <c r="X11" s="16"/>
      <c r="Y11" s="16"/>
      <c r="Z11" s="16"/>
      <c r="AA11" s="19"/>
      <c r="AB11" s="16"/>
      <c r="AC11" s="17"/>
      <c r="AD11" s="16"/>
      <c r="AE11" s="20"/>
      <c r="AF11" s="18"/>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7"/>
      <c r="BZ11" s="16"/>
      <c r="CA11" s="16"/>
      <c r="CB11" s="18"/>
      <c r="CC11" s="16"/>
      <c r="CD11" s="16"/>
      <c r="CE11" s="16"/>
      <c r="CX11" s="23"/>
      <c r="CY11" s="14"/>
      <c r="DB11" s="13"/>
    </row>
    <row r="12" spans="1:110" s="12" customFormat="1" ht="22.5" customHeight="1">
      <c r="A12" s="83" t="str">
        <f t="shared" si="0"/>
        <v>Check number 131 in the amount of $146.00.</v>
      </c>
      <c r="B12" s="83"/>
      <c r="C12" s="83"/>
      <c r="D12" s="83"/>
      <c r="E12" s="83"/>
      <c r="F12" s="83"/>
      <c r="G12" s="83"/>
      <c r="H12" s="16"/>
      <c r="I12" s="16"/>
      <c r="J12" s="16"/>
      <c r="K12" s="16"/>
      <c r="L12" s="16"/>
      <c r="M12" s="30">
        <f>Identification!C80</f>
        <v>14</v>
      </c>
      <c r="N12" s="30">
        <f>Identification!D80</f>
        <v>146</v>
      </c>
      <c r="O12" s="30">
        <f>Identification!E80</f>
        <v>1654</v>
      </c>
      <c r="P12" s="30">
        <f>Identification!F80</f>
        <v>18140</v>
      </c>
      <c r="Q12" s="30">
        <f>Identification!G80</f>
        <v>197520</v>
      </c>
      <c r="R12" s="30">
        <f>Identification!H80</f>
        <v>790080</v>
      </c>
      <c r="S12" s="16"/>
      <c r="T12" s="16"/>
      <c r="U12" s="16"/>
      <c r="V12" s="16"/>
      <c r="W12" s="16"/>
      <c r="X12" s="16"/>
      <c r="Y12" s="16"/>
      <c r="Z12" s="16"/>
      <c r="AA12" s="19"/>
      <c r="AB12" s="16"/>
      <c r="AC12" s="17"/>
      <c r="AD12" s="16"/>
      <c r="AE12" s="20"/>
      <c r="AF12" s="18"/>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7"/>
      <c r="BZ12" s="16"/>
      <c r="CA12" s="16"/>
      <c r="CB12" s="18"/>
      <c r="CC12" s="16"/>
      <c r="CD12" s="16"/>
      <c r="CE12" s="16"/>
      <c r="CX12" s="23"/>
      <c r="CY12" s="14"/>
      <c r="DB12" s="13"/>
    </row>
    <row r="13" spans="1:110" s="12" customFormat="1" ht="22.5" customHeight="1">
      <c r="A13" s="84" t="s">
        <v>28</v>
      </c>
      <c r="B13" s="84"/>
      <c r="C13" s="84"/>
      <c r="D13" s="84"/>
      <c r="E13" s="84"/>
      <c r="F13" s="84"/>
      <c r="G13" s="84"/>
      <c r="H13" s="16"/>
      <c r="I13" s="16"/>
      <c r="J13" s="16"/>
      <c r="K13" s="16"/>
      <c r="L13" s="16"/>
      <c r="M13" s="30"/>
      <c r="N13" s="17"/>
      <c r="O13" s="16"/>
      <c r="P13" s="16"/>
      <c r="Q13" s="18"/>
      <c r="R13" s="16"/>
      <c r="S13" s="16"/>
      <c r="T13" s="16"/>
      <c r="U13" s="16"/>
      <c r="V13" s="16"/>
      <c r="W13" s="16"/>
      <c r="X13" s="16"/>
      <c r="Y13" s="16"/>
      <c r="Z13" s="16"/>
      <c r="AA13" s="19"/>
      <c r="AB13" s="16"/>
      <c r="AC13" s="17"/>
      <c r="AD13" s="16"/>
      <c r="AE13" s="20"/>
      <c r="AF13" s="18"/>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7"/>
      <c r="BZ13" s="16"/>
      <c r="CA13" s="16"/>
      <c r="CB13" s="18"/>
      <c r="CC13" s="16"/>
      <c r="CD13" s="16"/>
      <c r="CE13" s="16"/>
      <c r="CX13" s="23"/>
      <c r="CY13" s="14"/>
      <c r="DB13" s="13"/>
    </row>
    <row r="14" spans="1:110" s="34" customFormat="1" ht="22.5" customHeight="1">
      <c r="A14" s="41"/>
      <c r="B14" s="41"/>
      <c r="C14" s="41"/>
      <c r="D14" s="41"/>
      <c r="E14" s="41"/>
      <c r="F14" s="41"/>
      <c r="G14" s="41"/>
      <c r="H14" s="16"/>
      <c r="I14" s="16"/>
      <c r="J14" s="16"/>
      <c r="K14" s="16"/>
      <c r="L14" s="16"/>
      <c r="M14" s="30"/>
      <c r="N14" s="17"/>
      <c r="O14" s="16"/>
      <c r="P14" s="16"/>
      <c r="Q14" s="18"/>
      <c r="R14" s="16"/>
      <c r="S14" s="16"/>
      <c r="T14" s="16"/>
      <c r="U14" s="16"/>
      <c r="V14" s="16"/>
      <c r="W14" s="16"/>
      <c r="X14" s="16"/>
      <c r="Y14" s="16"/>
      <c r="Z14" s="16"/>
      <c r="AA14" s="19"/>
      <c r="AB14" s="16"/>
      <c r="AC14" s="17"/>
      <c r="AD14" s="16"/>
      <c r="AE14" s="20"/>
      <c r="AF14" s="18"/>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7"/>
      <c r="BZ14" s="16"/>
      <c r="CA14" s="16"/>
      <c r="CB14" s="18"/>
      <c r="CC14" s="16"/>
      <c r="CD14" s="16"/>
      <c r="CE14" s="16"/>
      <c r="CX14" s="23"/>
      <c r="CY14" s="14"/>
      <c r="DB14" s="13"/>
    </row>
    <row r="15" spans="1:110" s="12" customFormat="1" ht="22.5" customHeight="1" thickBot="1">
      <c r="A15" s="85"/>
      <c r="B15" s="86"/>
      <c r="C15" s="86"/>
      <c r="D15" s="86"/>
      <c r="E15" s="86"/>
      <c r="F15" s="86"/>
      <c r="G15" s="86"/>
      <c r="H15" s="86"/>
      <c r="I15" s="16"/>
      <c r="J15" s="16"/>
      <c r="K15" s="16"/>
      <c r="L15" s="19" t="str">
        <f>N17</f>
        <v>Outstanding checks</v>
      </c>
      <c r="M15" s="30"/>
      <c r="N15" s="17"/>
      <c r="O15" s="16"/>
      <c r="P15" s="16"/>
      <c r="Q15" s="18"/>
      <c r="R15" s="16"/>
      <c r="S15" s="16"/>
      <c r="T15" s="16"/>
      <c r="U15" s="16"/>
      <c r="V15" s="16"/>
      <c r="W15" s="16"/>
      <c r="X15" s="16"/>
      <c r="Y15" s="16"/>
      <c r="Z15" s="16"/>
      <c r="AA15" s="19"/>
      <c r="AB15" s="16"/>
      <c r="AC15" s="17"/>
      <c r="AD15" s="16"/>
      <c r="AE15" s="20"/>
      <c r="AF15" s="18"/>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7"/>
      <c r="BZ15" s="16"/>
      <c r="CA15" s="16"/>
      <c r="CB15" s="18"/>
      <c r="CC15" s="16"/>
      <c r="CD15" s="16"/>
      <c r="CE15" s="16"/>
      <c r="CX15" s="23"/>
      <c r="CY15" s="14"/>
      <c r="DB15" s="13"/>
    </row>
    <row r="16" spans="1:110" s="12" customFormat="1" ht="22.5" customHeight="1" thickBot="1">
      <c r="A16" s="50"/>
      <c r="B16" s="87" t="s">
        <v>22</v>
      </c>
      <c r="C16" s="88"/>
      <c r="D16" s="51"/>
      <c r="E16" s="52"/>
      <c r="F16" s="53"/>
      <c r="G16" s="76"/>
      <c r="H16" s="54"/>
      <c r="I16" s="16"/>
      <c r="J16" s="16"/>
      <c r="K16" s="16"/>
      <c r="L16" s="19" t="str">
        <f>N23</f>
        <v>Deposit in transit</v>
      </c>
      <c r="M16" s="30"/>
      <c r="N16" s="17"/>
      <c r="O16" s="16"/>
      <c r="P16" s="16"/>
      <c r="Q16" s="18"/>
      <c r="R16" s="16"/>
      <c r="S16" s="16"/>
      <c r="T16" s="16"/>
      <c r="U16" s="16"/>
      <c r="V16" s="16"/>
      <c r="W16" s="16"/>
      <c r="X16" s="16"/>
      <c r="Y16" s="16"/>
      <c r="Z16" s="16"/>
      <c r="AA16" s="19"/>
      <c r="AB16" s="16"/>
      <c r="AC16" s="17"/>
      <c r="AD16" s="16"/>
      <c r="AE16" s="20"/>
      <c r="AF16" s="18"/>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7"/>
      <c r="BZ16" s="16"/>
      <c r="CA16" s="16"/>
      <c r="CB16" s="18"/>
      <c r="CC16" s="16"/>
      <c r="CD16" s="16"/>
      <c r="CE16" s="16"/>
      <c r="CX16" s="23"/>
      <c r="CY16" s="14"/>
      <c r="DB16" s="13"/>
    </row>
    <row r="17" spans="1:106" s="12" customFormat="1" ht="22.5" customHeight="1" thickBot="1">
      <c r="A17" s="55"/>
      <c r="B17" s="54"/>
      <c r="C17" s="56"/>
      <c r="D17" s="57"/>
      <c r="E17" s="58"/>
      <c r="F17" s="57"/>
      <c r="G17" s="51"/>
      <c r="H17" s="57"/>
      <c r="I17" s="16"/>
      <c r="J17" s="16"/>
      <c r="K17" s="16"/>
      <c r="L17" s="19" t="str">
        <f>N29</f>
        <v>Interest earned on account</v>
      </c>
      <c r="M17" s="30"/>
      <c r="N17" s="17" t="s">
        <v>6</v>
      </c>
      <c r="O17" s="16"/>
      <c r="P17" s="16"/>
      <c r="Q17" s="18"/>
      <c r="R17" s="16"/>
      <c r="S17" s="16"/>
      <c r="T17" s="16"/>
      <c r="U17" s="16"/>
      <c r="V17" s="16"/>
      <c r="W17" s="16"/>
      <c r="X17" s="16"/>
      <c r="Y17" s="16"/>
      <c r="Z17" s="16"/>
      <c r="AA17" s="19"/>
      <c r="AB17" s="16"/>
      <c r="AC17" s="17"/>
      <c r="AD17" s="16"/>
      <c r="AE17" s="20"/>
      <c r="AF17" s="18"/>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7"/>
      <c r="BZ17" s="16"/>
      <c r="CA17" s="16"/>
      <c r="CB17" s="18"/>
      <c r="CC17" s="16"/>
      <c r="CD17" s="16"/>
      <c r="CE17" s="16"/>
      <c r="CX17" s="23"/>
      <c r="CY17" s="14"/>
      <c r="DB17" s="13"/>
    </row>
    <row r="18" spans="1:106" s="12" customFormat="1" ht="22.5" customHeight="1" thickBot="1">
      <c r="A18" s="59"/>
      <c r="B18" s="60" t="s">
        <v>23</v>
      </c>
      <c r="C18" s="79"/>
      <c r="D18" s="54"/>
      <c r="E18" s="61"/>
      <c r="F18" s="57"/>
      <c r="G18" s="77"/>
      <c r="H18" s="57"/>
      <c r="I18" s="16"/>
      <c r="J18" s="16"/>
      <c r="K18" s="16"/>
      <c r="L18" s="16" t="str">
        <f>N33</f>
        <v>Balance per books</v>
      </c>
      <c r="M18" s="16"/>
      <c r="N18" s="31">
        <f>Identification!B14</f>
        <v>123</v>
      </c>
      <c r="O18" s="32">
        <f>P4</f>
        <v>7690</v>
      </c>
      <c r="P18" s="36" t="str">
        <f t="shared" ref="P18:P21" si="1">TEXT(O18,"$#,##0.00")</f>
        <v>$7,690.00</v>
      </c>
      <c r="Q18" s="18"/>
      <c r="R18" s="16"/>
      <c r="S18" s="16"/>
      <c r="T18" s="16"/>
      <c r="U18" s="16"/>
      <c r="V18" s="16"/>
      <c r="W18" s="16"/>
      <c r="X18" s="16"/>
      <c r="Y18" s="16"/>
      <c r="Z18" s="16"/>
      <c r="AA18" s="19"/>
      <c r="AB18" s="16"/>
      <c r="AC18" s="17"/>
      <c r="AD18" s="16"/>
      <c r="AE18" s="20"/>
      <c r="AF18" s="18"/>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7"/>
      <c r="BZ18" s="16"/>
      <c r="CA18" s="16"/>
      <c r="CB18" s="18"/>
      <c r="CC18" s="16"/>
      <c r="CD18" s="16"/>
      <c r="CE18" s="16"/>
      <c r="CX18" s="23"/>
      <c r="CY18" s="14"/>
      <c r="DB18" s="13"/>
    </row>
    <row r="19" spans="1:106" s="12" customFormat="1" ht="22.5" customHeight="1" thickBot="1">
      <c r="A19" s="59"/>
      <c r="B19" s="54"/>
      <c r="C19" s="62"/>
      <c r="D19" s="57"/>
      <c r="E19" s="61"/>
      <c r="F19" s="57"/>
      <c r="G19" s="57"/>
      <c r="H19" s="57"/>
      <c r="I19" s="16"/>
      <c r="J19" s="16"/>
      <c r="K19" s="16"/>
      <c r="L19" s="16"/>
      <c r="M19" s="16"/>
      <c r="N19" s="31">
        <f>N18+4</f>
        <v>127</v>
      </c>
      <c r="O19" s="32">
        <f>O6</f>
        <v>827</v>
      </c>
      <c r="P19" s="36" t="str">
        <f t="shared" si="1"/>
        <v>$827.00</v>
      </c>
      <c r="Q19" s="18"/>
      <c r="R19" s="16"/>
      <c r="S19" s="16"/>
      <c r="T19" s="16"/>
      <c r="U19" s="16"/>
      <c r="V19" s="16"/>
      <c r="W19" s="16"/>
      <c r="X19" s="16"/>
      <c r="Y19" s="16"/>
      <c r="Z19" s="16"/>
      <c r="AA19" s="19"/>
      <c r="AB19" s="16"/>
      <c r="AC19" s="17"/>
      <c r="AD19" s="16"/>
      <c r="AE19" s="20"/>
      <c r="AF19" s="18"/>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7"/>
      <c r="BZ19" s="16"/>
      <c r="CA19" s="16"/>
      <c r="CB19" s="18"/>
      <c r="CC19" s="16"/>
      <c r="CD19" s="16"/>
      <c r="CE19" s="16"/>
      <c r="CX19" s="23"/>
      <c r="CY19" s="14"/>
      <c r="DB19" s="13"/>
    </row>
    <row r="20" spans="1:106" s="12" customFormat="1" ht="22.5" customHeight="1" thickBot="1">
      <c r="A20" s="63"/>
      <c r="B20" s="64" t="s">
        <v>24</v>
      </c>
      <c r="C20" s="79"/>
      <c r="D20" s="65"/>
      <c r="E20" s="61"/>
      <c r="F20" s="57"/>
      <c r="G20" s="57"/>
      <c r="H20" s="57"/>
      <c r="I20" s="16"/>
      <c r="J20" s="16"/>
      <c r="K20" s="16"/>
      <c r="L20" s="19" t="str">
        <f>N23</f>
        <v>Deposit in transit</v>
      </c>
      <c r="M20" s="16"/>
      <c r="N20" s="31">
        <f>N19+1</f>
        <v>128</v>
      </c>
      <c r="O20" s="32">
        <f>P11</f>
        <v>6934</v>
      </c>
      <c r="P20" s="36" t="str">
        <f t="shared" si="1"/>
        <v>$6,934.00</v>
      </c>
      <c r="Q20" s="18"/>
      <c r="R20" s="16"/>
      <c r="S20" s="16"/>
      <c r="T20" s="16"/>
      <c r="U20" s="16"/>
      <c r="V20" s="16"/>
      <c r="W20" s="16"/>
      <c r="X20" s="16"/>
      <c r="Y20" s="16"/>
      <c r="Z20" s="16"/>
      <c r="AA20" s="19"/>
      <c r="AB20" s="16"/>
      <c r="AC20" s="17"/>
      <c r="AD20" s="16"/>
      <c r="AE20" s="20"/>
      <c r="AF20" s="18"/>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7"/>
      <c r="BZ20" s="16"/>
      <c r="CA20" s="16"/>
      <c r="CB20" s="18"/>
      <c r="CC20" s="16"/>
      <c r="CD20" s="16"/>
      <c r="CE20" s="16"/>
      <c r="CX20" s="23"/>
      <c r="CY20" s="14"/>
      <c r="DB20" s="13"/>
    </row>
    <row r="21" spans="1:106" s="12" customFormat="1" ht="22.5" customHeight="1" thickBot="1">
      <c r="A21" s="63"/>
      <c r="B21" s="64"/>
      <c r="C21" s="79"/>
      <c r="D21" s="66"/>
      <c r="E21" s="76"/>
      <c r="F21" s="57"/>
      <c r="G21" s="57"/>
      <c r="H21" s="57"/>
      <c r="I21" s="16"/>
      <c r="J21" s="16"/>
      <c r="K21" s="16"/>
      <c r="L21" s="19" t="str">
        <f>N17</f>
        <v>Outstanding checks</v>
      </c>
      <c r="M21" s="32">
        <f>SUM(O18:O21)*-1</f>
        <v>-15597</v>
      </c>
      <c r="N21" s="31">
        <f>N20+3</f>
        <v>131</v>
      </c>
      <c r="O21" s="32">
        <f>N12</f>
        <v>146</v>
      </c>
      <c r="P21" s="36" t="str">
        <f t="shared" si="1"/>
        <v>$146.00</v>
      </c>
      <c r="Q21" s="18"/>
      <c r="R21" s="16"/>
      <c r="S21" s="16"/>
      <c r="T21" s="16"/>
      <c r="U21" s="16"/>
      <c r="V21" s="16"/>
      <c r="W21" s="16"/>
      <c r="X21" s="16"/>
      <c r="Y21" s="16"/>
      <c r="Z21" s="16"/>
      <c r="AA21" s="19"/>
      <c r="AB21" s="16"/>
      <c r="AC21" s="17"/>
      <c r="AD21" s="16"/>
      <c r="AE21" s="20"/>
      <c r="AF21" s="18"/>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7"/>
      <c r="BZ21" s="16"/>
      <c r="CA21" s="16"/>
      <c r="CB21" s="18"/>
      <c r="CC21" s="16"/>
      <c r="CD21" s="16"/>
      <c r="CE21" s="16"/>
      <c r="CX21" s="23"/>
      <c r="CY21" s="14"/>
      <c r="DB21" s="13"/>
    </row>
    <row r="22" spans="1:106" s="12" customFormat="1" ht="22.5" customHeight="1" thickBot="1">
      <c r="A22" s="63"/>
      <c r="B22" s="64"/>
      <c r="C22" s="79"/>
      <c r="D22" s="67"/>
      <c r="E22" s="77"/>
      <c r="F22" s="57"/>
      <c r="G22" s="57"/>
      <c r="H22" s="57"/>
      <c r="I22" s="16"/>
      <c r="J22" s="16"/>
      <c r="K22" s="16"/>
      <c r="L22" s="19" t="str">
        <f>N28</f>
        <v>NSF check</v>
      </c>
      <c r="M22" s="16"/>
      <c r="N22" s="17"/>
      <c r="O22" s="16"/>
      <c r="P22" s="16"/>
      <c r="Q22" s="18"/>
      <c r="R22" s="16"/>
      <c r="S22" s="16"/>
      <c r="T22" s="16"/>
      <c r="U22" s="16"/>
      <c r="V22" s="16"/>
      <c r="W22" s="16"/>
      <c r="X22" s="16"/>
      <c r="Y22" s="16"/>
      <c r="Z22" s="16"/>
      <c r="AA22" s="19"/>
      <c r="AB22" s="16"/>
      <c r="AC22" s="17"/>
      <c r="AD22" s="16"/>
      <c r="AE22" s="20"/>
      <c r="AF22" s="18"/>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7"/>
      <c r="BZ22" s="16"/>
      <c r="CA22" s="16"/>
      <c r="CB22" s="18"/>
      <c r="CC22" s="16"/>
      <c r="CD22" s="16"/>
      <c r="CE22" s="16"/>
      <c r="CX22" s="23"/>
      <c r="CY22" s="14"/>
      <c r="DB22" s="13"/>
    </row>
    <row r="23" spans="1:106" s="12" customFormat="1" ht="22.5" customHeight="1" thickBot="1">
      <c r="A23" s="63"/>
      <c r="B23" s="64"/>
      <c r="C23" s="79"/>
      <c r="D23" s="66"/>
      <c r="E23" s="77"/>
      <c r="F23" s="57"/>
      <c r="G23" s="57"/>
      <c r="H23" s="57"/>
      <c r="I23" s="16"/>
      <c r="J23" s="16"/>
      <c r="K23" s="16"/>
      <c r="L23" s="16" t="str">
        <f>N31</f>
        <v>Auto payments</v>
      </c>
      <c r="M23" s="16"/>
      <c r="N23" s="17" t="s">
        <v>7</v>
      </c>
      <c r="O23" s="32">
        <f>Q9</f>
        <v>24690</v>
      </c>
      <c r="P23" s="36" t="str">
        <f t="shared" ref="P23:P30" si="2">TEXT(O23,"$#,##0.00")</f>
        <v>$24,690.00</v>
      </c>
      <c r="Q23" s="18"/>
      <c r="R23" s="16"/>
      <c r="S23" s="16" t="s">
        <v>15</v>
      </c>
      <c r="T23" s="16"/>
      <c r="U23" s="49">
        <f>O32</f>
        <v>395040</v>
      </c>
      <c r="V23" s="16"/>
      <c r="W23" s="16"/>
      <c r="X23" s="49">
        <f>X26-X25-X24</f>
        <v>407538</v>
      </c>
      <c r="Y23" s="16"/>
      <c r="Z23" s="16"/>
      <c r="AA23" s="19"/>
      <c r="AB23" s="16"/>
      <c r="AC23" s="17"/>
      <c r="AD23" s="16"/>
      <c r="AE23" s="20"/>
      <c r="AF23" s="18"/>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7"/>
      <c r="BZ23" s="16"/>
      <c r="CA23" s="16"/>
      <c r="CB23" s="18"/>
      <c r="CC23" s="16"/>
      <c r="CD23" s="16"/>
      <c r="CE23" s="16"/>
      <c r="CX23" s="23"/>
      <c r="CY23" s="14"/>
      <c r="DB23" s="13"/>
    </row>
    <row r="24" spans="1:106" s="12" customFormat="1" ht="22.5" customHeight="1" thickBot="1">
      <c r="A24" s="63"/>
      <c r="B24" s="68"/>
      <c r="C24" s="79"/>
      <c r="D24" s="67"/>
      <c r="E24" s="78"/>
      <c r="F24" s="57"/>
      <c r="G24" s="69">
        <f>SUM(E21:E24)*-1</f>
        <v>0</v>
      </c>
      <c r="H24" s="57"/>
      <c r="I24" s="16"/>
      <c r="J24" s="16"/>
      <c r="K24" s="16"/>
      <c r="L24" s="16"/>
      <c r="M24" s="16"/>
      <c r="N24" s="17"/>
      <c r="O24" s="16"/>
      <c r="P24" s="16"/>
      <c r="Q24" s="18"/>
      <c r="R24" s="16"/>
      <c r="S24" s="16" t="s">
        <v>17</v>
      </c>
      <c r="T24" s="16"/>
      <c r="U24" s="49">
        <f>O23</f>
        <v>24690</v>
      </c>
      <c r="V24" s="16"/>
      <c r="W24" s="16" t="s">
        <v>21</v>
      </c>
      <c r="X24" s="49">
        <f>O26+O27+O29</f>
        <v>6612</v>
      </c>
      <c r="Y24" s="16"/>
      <c r="Z24" s="16"/>
      <c r="AA24" s="19"/>
      <c r="AB24" s="16"/>
      <c r="AC24" s="17"/>
      <c r="AD24" s="16"/>
      <c r="AE24" s="20"/>
      <c r="AF24" s="18"/>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7"/>
      <c r="BZ24" s="16"/>
      <c r="CA24" s="16"/>
      <c r="CB24" s="18"/>
      <c r="CC24" s="16"/>
      <c r="CD24" s="16"/>
      <c r="CE24" s="16"/>
      <c r="CX24" s="23"/>
      <c r="CY24" s="14"/>
      <c r="DB24" s="13"/>
    </row>
    <row r="25" spans="1:106" s="12" customFormat="1" ht="22.5" customHeight="1">
      <c r="A25" s="63"/>
      <c r="B25" s="70"/>
      <c r="C25" s="71"/>
      <c r="D25" s="72"/>
      <c r="E25" s="73"/>
      <c r="F25" s="57"/>
      <c r="G25" s="57"/>
      <c r="H25" s="57"/>
      <c r="I25" s="16"/>
      <c r="J25" s="16"/>
      <c r="K25" s="19" t="str">
        <f>N26</f>
        <v>Note for collection</v>
      </c>
      <c r="L25" s="16" t="str">
        <f>CONCATENATE("Check #"&amp;N18)</f>
        <v>Check #123</v>
      </c>
      <c r="M25" s="16"/>
      <c r="N25" s="17" t="s">
        <v>8</v>
      </c>
      <c r="O25" s="32">
        <f>N11</f>
        <v>194</v>
      </c>
      <c r="P25" s="36" t="str">
        <f t="shared" si="2"/>
        <v>$194.00</v>
      </c>
      <c r="Q25" s="18"/>
      <c r="R25" s="16"/>
      <c r="S25" s="16" t="s">
        <v>18</v>
      </c>
      <c r="T25" s="16"/>
      <c r="U25" s="32">
        <f>(O18+O19+O20+O21)*-1</f>
        <v>-15597</v>
      </c>
      <c r="V25" s="16"/>
      <c r="W25" s="16" t="s">
        <v>20</v>
      </c>
      <c r="X25" s="32">
        <f>(O25+O28+O30+O31)*-1</f>
        <v>-10017</v>
      </c>
      <c r="Y25" s="16"/>
      <c r="Z25" s="16"/>
      <c r="AA25" s="19"/>
      <c r="AB25" s="16"/>
      <c r="AC25" s="17"/>
      <c r="AD25" s="16"/>
      <c r="AE25" s="20"/>
      <c r="AF25" s="18"/>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7"/>
      <c r="BZ25" s="16"/>
      <c r="CA25" s="16"/>
      <c r="CB25" s="18"/>
      <c r="CC25" s="16"/>
      <c r="CD25" s="16"/>
      <c r="CE25" s="16"/>
      <c r="CX25" s="23"/>
      <c r="CY25" s="14"/>
      <c r="DB25" s="13"/>
    </row>
    <row r="26" spans="1:106" s="12" customFormat="1" ht="22.5" customHeight="1">
      <c r="A26" s="70"/>
      <c r="B26" s="80" t="s">
        <v>25</v>
      </c>
      <c r="C26" s="81"/>
      <c r="D26" s="70"/>
      <c r="E26" s="70"/>
      <c r="F26" s="70"/>
      <c r="G26" s="74">
        <f>SUM(G16:G24)</f>
        <v>0</v>
      </c>
      <c r="H26" s="70"/>
      <c r="I26" s="16"/>
      <c r="J26" s="16"/>
      <c r="K26" s="19" t="str">
        <f>N25</f>
        <v>Service charge</v>
      </c>
      <c r="L26" s="19" t="str">
        <f>N25</f>
        <v>Service charge</v>
      </c>
      <c r="M26" s="16"/>
      <c r="N26" s="17" t="s">
        <v>9</v>
      </c>
      <c r="O26" s="32">
        <f>M9*1000</f>
        <v>6000</v>
      </c>
      <c r="P26" s="36" t="str">
        <f t="shared" si="2"/>
        <v>$6,000.00</v>
      </c>
      <c r="Q26" s="18"/>
      <c r="R26" s="16"/>
      <c r="S26" s="16" t="s">
        <v>19</v>
      </c>
      <c r="T26" s="16"/>
      <c r="U26" s="32">
        <f>SUM(U23:U25)</f>
        <v>404133</v>
      </c>
      <c r="V26" s="16"/>
      <c r="W26" s="16"/>
      <c r="X26" s="32">
        <f>U26</f>
        <v>404133</v>
      </c>
      <c r="Y26" s="16"/>
      <c r="Z26" s="16"/>
      <c r="AA26" s="19"/>
      <c r="AB26" s="16"/>
      <c r="AC26" s="17"/>
      <c r="AD26" s="16"/>
      <c r="AE26" s="20"/>
      <c r="AF26" s="18"/>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7"/>
      <c r="BZ26" s="16"/>
      <c r="CA26" s="16"/>
      <c r="CB26" s="18"/>
      <c r="CC26" s="16"/>
      <c r="CD26" s="16"/>
      <c r="CE26" s="16"/>
      <c r="CX26" s="23"/>
      <c r="CY26" s="14"/>
      <c r="DB26" s="13"/>
    </row>
    <row r="27" spans="1:106" s="12" customFormat="1" ht="22.5" customHeight="1">
      <c r="A27" s="70"/>
      <c r="B27" s="70"/>
      <c r="C27" s="70"/>
      <c r="D27" s="70"/>
      <c r="E27" s="70"/>
      <c r="F27" s="70"/>
      <c r="G27" s="70"/>
      <c r="H27" s="70"/>
      <c r="I27" s="16"/>
      <c r="J27" s="16"/>
      <c r="K27" s="16" t="str">
        <f>CONCATENATE("Check #"&amp;N19)</f>
        <v>Check #127</v>
      </c>
      <c r="L27" s="19" t="str">
        <f>N30</f>
        <v>NSF Check fee</v>
      </c>
      <c r="M27" s="16"/>
      <c r="N27" s="17" t="s">
        <v>10</v>
      </c>
      <c r="O27" s="32">
        <f>O26*0.09</f>
        <v>540</v>
      </c>
      <c r="P27" s="36" t="str">
        <f t="shared" si="2"/>
        <v>$540.00</v>
      </c>
      <c r="Q27" s="18"/>
      <c r="R27" s="16"/>
      <c r="S27" s="16"/>
      <c r="T27" s="16"/>
      <c r="U27" s="32"/>
      <c r="V27" s="16"/>
      <c r="W27" s="16"/>
      <c r="X27" s="16"/>
      <c r="Y27" s="16"/>
      <c r="Z27" s="16"/>
      <c r="AA27" s="19"/>
      <c r="AB27" s="16"/>
      <c r="AC27" s="17"/>
      <c r="AD27" s="16"/>
      <c r="AE27" s="20"/>
      <c r="AF27" s="18"/>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7"/>
      <c r="BZ27" s="16"/>
      <c r="CA27" s="16"/>
      <c r="CB27" s="18"/>
      <c r="CC27" s="16"/>
      <c r="CD27" s="16"/>
      <c r="CE27" s="16"/>
      <c r="CX27" s="23"/>
      <c r="CY27" s="14"/>
      <c r="DB27" s="13"/>
    </row>
    <row r="28" spans="1:106" s="12" customFormat="1" ht="22.5" customHeight="1">
      <c r="A28" s="16"/>
      <c r="B28" s="16"/>
      <c r="C28" s="16"/>
      <c r="D28" s="16"/>
      <c r="E28" s="16"/>
      <c r="F28" s="16"/>
      <c r="G28" s="16"/>
      <c r="H28" s="16"/>
      <c r="I28" s="28"/>
      <c r="J28" s="16"/>
      <c r="K28" s="16"/>
      <c r="L28" s="16"/>
      <c r="M28" s="16"/>
      <c r="N28" s="17" t="s">
        <v>11</v>
      </c>
      <c r="O28" s="32">
        <f>O9</f>
        <v>728</v>
      </c>
      <c r="P28" s="36" t="str">
        <f t="shared" si="2"/>
        <v>$728.00</v>
      </c>
      <c r="Q28" s="18"/>
      <c r="R28" s="16"/>
      <c r="S28" s="16"/>
      <c r="T28" s="16"/>
      <c r="U28" s="16"/>
      <c r="V28" s="16"/>
      <c r="W28" s="16"/>
      <c r="X28" s="16"/>
      <c r="Y28" s="16"/>
      <c r="Z28" s="16"/>
      <c r="AA28" s="19"/>
      <c r="AB28" s="16"/>
      <c r="AC28" s="17"/>
      <c r="AD28" s="16"/>
      <c r="AE28" s="20"/>
      <c r="AF28" s="18"/>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7"/>
      <c r="BZ28" s="16"/>
      <c r="CA28" s="16"/>
      <c r="CB28" s="18"/>
      <c r="CC28" s="16"/>
      <c r="CD28" s="16"/>
      <c r="CE28" s="16"/>
      <c r="CX28" s="23"/>
      <c r="CY28" s="14"/>
      <c r="DB28" s="13"/>
    </row>
    <row r="29" spans="1:106" s="12" customFormat="1" ht="22.5" customHeight="1" thickBot="1">
      <c r="A29" s="89"/>
      <c r="B29" s="90"/>
      <c r="C29" s="90"/>
      <c r="D29" s="90"/>
      <c r="E29" s="90"/>
      <c r="F29" s="90"/>
      <c r="G29" s="90"/>
      <c r="H29" s="90"/>
      <c r="I29" s="16"/>
      <c r="J29" s="16"/>
      <c r="K29" s="19" t="str">
        <f>N23</f>
        <v>Deposit in transit</v>
      </c>
      <c r="L29" s="16" t="str">
        <f>CONCATENATE("Check #"&amp;N21)</f>
        <v>Check #131</v>
      </c>
      <c r="M29" s="16"/>
      <c r="N29" s="17" t="s">
        <v>12</v>
      </c>
      <c r="O29" s="32">
        <f>N9</f>
        <v>72</v>
      </c>
      <c r="P29" s="36" t="str">
        <f t="shared" si="2"/>
        <v>$72.00</v>
      </c>
      <c r="Q29" s="18"/>
      <c r="R29" s="16"/>
      <c r="S29" s="16"/>
      <c r="T29" s="16"/>
      <c r="U29" s="16"/>
      <c r="V29" s="16"/>
      <c r="W29" s="16"/>
      <c r="X29" s="16"/>
      <c r="Y29" s="16"/>
      <c r="Z29" s="16"/>
      <c r="AA29" s="19"/>
      <c r="AB29" s="16"/>
      <c r="AC29" s="17"/>
      <c r="AD29" s="16"/>
      <c r="AE29" s="20"/>
      <c r="AF29" s="18"/>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7"/>
      <c r="BZ29" s="16"/>
      <c r="CA29" s="16"/>
      <c r="CB29" s="18"/>
      <c r="CC29" s="16"/>
      <c r="CD29" s="16"/>
      <c r="CE29" s="16"/>
      <c r="CX29" s="23"/>
      <c r="CY29" s="14"/>
      <c r="DB29" s="13"/>
    </row>
    <row r="30" spans="1:106" s="12" customFormat="1" ht="22.5" customHeight="1" thickBot="1">
      <c r="A30" s="50"/>
      <c r="B30" s="87" t="s">
        <v>26</v>
      </c>
      <c r="C30" s="88"/>
      <c r="D30" s="51"/>
      <c r="E30" s="52"/>
      <c r="F30" s="53"/>
      <c r="G30" s="76"/>
      <c r="H30" s="54"/>
      <c r="I30" s="16"/>
      <c r="J30" s="16"/>
      <c r="K30" s="16" t="str">
        <f>CONCATENATE("Check #"&amp;N20)</f>
        <v>Check #128</v>
      </c>
      <c r="L30" s="16" t="str">
        <f>N33</f>
        <v>Balance per books</v>
      </c>
      <c r="M30" s="16"/>
      <c r="N30" s="17" t="s">
        <v>13</v>
      </c>
      <c r="O30" s="32">
        <v>25</v>
      </c>
      <c r="P30" s="36" t="str">
        <f t="shared" si="2"/>
        <v>$25.00</v>
      </c>
      <c r="Q30" s="18"/>
      <c r="R30" s="16"/>
      <c r="S30" s="16"/>
      <c r="T30" s="16"/>
      <c r="U30" s="16"/>
      <c r="V30" s="16"/>
      <c r="W30" s="16"/>
      <c r="X30" s="16"/>
      <c r="Y30" s="16"/>
      <c r="Z30" s="16"/>
      <c r="AA30" s="19"/>
      <c r="AB30" s="16"/>
      <c r="AC30" s="17"/>
      <c r="AD30" s="16"/>
      <c r="AE30" s="20"/>
      <c r="AF30" s="18"/>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7"/>
      <c r="BZ30" s="16"/>
      <c r="CA30" s="16"/>
      <c r="CB30" s="18"/>
      <c r="CC30" s="16"/>
      <c r="CD30" s="16"/>
      <c r="CE30" s="16"/>
      <c r="CX30" s="23"/>
      <c r="CY30" s="14"/>
      <c r="DB30" s="13"/>
    </row>
    <row r="31" spans="1:106" s="16" customFormat="1" ht="24" customHeight="1" thickBot="1">
      <c r="A31" s="55"/>
      <c r="B31" s="54"/>
      <c r="C31" s="56"/>
      <c r="D31" s="57"/>
      <c r="E31" s="58"/>
      <c r="F31" s="57"/>
      <c r="G31" s="51"/>
      <c r="H31" s="57"/>
      <c r="I31" s="8"/>
      <c r="J31" s="8"/>
      <c r="K31" s="92" t="str">
        <f>N27</f>
        <v>Interest on note</v>
      </c>
      <c r="L31" s="19" t="str">
        <f>N17</f>
        <v>Outstanding checks</v>
      </c>
      <c r="N31" s="21" t="s">
        <v>14</v>
      </c>
      <c r="O31" s="32">
        <f>P6</f>
        <v>9070</v>
      </c>
      <c r="P31" s="36" t="str">
        <f>TEXT(O31,"$#,##0.00")</f>
        <v>$9,070.00</v>
      </c>
      <c r="Q31" s="18"/>
      <c r="T31" s="19"/>
      <c r="U31" s="19"/>
      <c r="AC31" s="21"/>
      <c r="AF31" s="18"/>
      <c r="BY31" s="21"/>
      <c r="CF31" s="20" t="e">
        <f>ROUND(#REF!,0)*0.75</f>
        <v>#REF!</v>
      </c>
      <c r="CG31" s="20" t="e">
        <f>CF31*#REF!</f>
        <v>#REF!</v>
      </c>
      <c r="CY31" s="21"/>
    </row>
    <row r="32" spans="1:106" s="16" customFormat="1" ht="24" customHeight="1" thickBot="1">
      <c r="A32" s="59"/>
      <c r="B32" s="60" t="s">
        <v>23</v>
      </c>
      <c r="C32" s="79"/>
      <c r="D32" s="54"/>
      <c r="E32" s="76"/>
      <c r="F32" s="57"/>
      <c r="G32" s="57"/>
      <c r="H32" s="57"/>
      <c r="I32" s="10"/>
      <c r="J32" s="10"/>
      <c r="K32" s="10"/>
      <c r="L32" s="10"/>
      <c r="N32" s="21" t="s">
        <v>15</v>
      </c>
      <c r="O32" s="32">
        <f>R11</f>
        <v>395040</v>
      </c>
      <c r="P32" s="36" t="str">
        <f>TEXT(O32,"$#,##0.00")</f>
        <v>$395,040.00</v>
      </c>
      <c r="Q32" s="18"/>
      <c r="T32" s="19"/>
      <c r="U32" s="19"/>
      <c r="AC32" s="21"/>
      <c r="AF32" s="18"/>
      <c r="BY32" s="21"/>
      <c r="CF32" s="20" t="e">
        <f>ROUND(#REF!,0)*0.75</f>
        <v>#REF!</v>
      </c>
      <c r="CG32" s="20" t="e">
        <f>CF32*#REF!</f>
        <v>#REF!</v>
      </c>
      <c r="CY32" s="21"/>
    </row>
    <row r="33" spans="1:106" s="16" customFormat="1" ht="24" customHeight="1" thickBot="1">
      <c r="A33" s="59"/>
      <c r="B33" s="54"/>
      <c r="C33" s="79"/>
      <c r="D33" s="57"/>
      <c r="E33" s="77"/>
      <c r="F33" s="57"/>
      <c r="G33" s="57"/>
      <c r="H33" s="57"/>
      <c r="I33" s="10"/>
      <c r="J33" s="10"/>
      <c r="K33" s="93" t="str">
        <f>N25</f>
        <v>Service charge</v>
      </c>
      <c r="L33" s="93" t="str">
        <f>N28</f>
        <v>NSF check</v>
      </c>
      <c r="N33" s="21" t="s">
        <v>16</v>
      </c>
      <c r="O33" s="32">
        <f>X23</f>
        <v>407538</v>
      </c>
      <c r="P33" s="36" t="str">
        <f>TEXT(O33,"$#,##0.00")</f>
        <v>$407,538.00</v>
      </c>
      <c r="Q33" s="18"/>
      <c r="R33" s="32">
        <f>O33-O32</f>
        <v>12498</v>
      </c>
      <c r="S33" s="42" t="str">
        <f>TEXT(R33,"$#,##0.00")</f>
        <v>$12,498.00</v>
      </c>
      <c r="T33" s="19" t="str">
        <f>IF(R33&gt;=0,"This amount was less than the balance in the general ledger cash account by ","This amount was greater than the balance in the general ledger cash account by ")</f>
        <v xml:space="preserve">This amount was less than the balance in the general ledger cash account by </v>
      </c>
      <c r="U33" s="19"/>
      <c r="AC33" s="21"/>
      <c r="AF33" s="18"/>
      <c r="BY33" s="21"/>
      <c r="CF33" s="20" t="e">
        <f>ROUND(#REF!,0)*0.75</f>
        <v>#REF!</v>
      </c>
      <c r="CG33" s="20" t="e">
        <f>CF33*#REF!</f>
        <v>#REF!</v>
      </c>
      <c r="CY33" s="21"/>
    </row>
    <row r="34" spans="1:106" s="16" customFormat="1" ht="24" customHeight="1" thickBot="1">
      <c r="A34" s="59"/>
      <c r="B34" s="54"/>
      <c r="C34" s="79"/>
      <c r="D34" s="57"/>
      <c r="E34" s="78"/>
      <c r="F34" s="57"/>
      <c r="G34" s="75">
        <f>SUM(E32:E34)</f>
        <v>0</v>
      </c>
      <c r="H34" s="57"/>
      <c r="I34" s="10"/>
      <c r="J34" s="10"/>
      <c r="K34" s="93" t="str">
        <f>N26</f>
        <v>Note for collection</v>
      </c>
      <c r="L34" s="93" t="str">
        <f>N17</f>
        <v>Outstanding checks</v>
      </c>
      <c r="N34" s="21"/>
      <c r="Q34" s="18"/>
      <c r="R34" s="32">
        <f>ABS(R33)</f>
        <v>12498</v>
      </c>
      <c r="S34" s="42" t="str">
        <f>TEXT(R34,"$#,##0.00")</f>
        <v>$12,498.00</v>
      </c>
      <c r="T34" s="19"/>
      <c r="U34" s="19"/>
      <c r="AC34" s="21"/>
      <c r="AF34" s="18"/>
      <c r="BY34" s="21"/>
      <c r="CF34" s="20" t="e">
        <f>ROUND(#REF!,0)*0.75</f>
        <v>#REF!</v>
      </c>
      <c r="CG34" s="20" t="e">
        <f>CF34*#REF!</f>
        <v>#REF!</v>
      </c>
      <c r="CY34" s="21"/>
    </row>
    <row r="35" spans="1:106" s="16" customFormat="1" ht="24" customHeight="1" thickBot="1">
      <c r="A35" s="59"/>
      <c r="B35" s="54"/>
      <c r="C35" s="62"/>
      <c r="D35" s="57"/>
      <c r="E35" s="61"/>
      <c r="F35" s="57"/>
      <c r="G35" s="57"/>
      <c r="H35" s="57"/>
      <c r="K35" s="16" t="str">
        <f>N31</f>
        <v>Auto payments</v>
      </c>
      <c r="L35" s="10" t="str">
        <f>CONCATENATE("Check #"&amp;N20)</f>
        <v>Check #128</v>
      </c>
      <c r="N35" s="21"/>
      <c r="Q35" s="18"/>
      <c r="T35" s="19"/>
      <c r="U35" s="19"/>
      <c r="AC35" s="21"/>
      <c r="AF35" s="18"/>
      <c r="BY35" s="21"/>
      <c r="CF35" s="20" t="e">
        <f>ROUND(#REF!,0)*0.75</f>
        <v>#REF!</v>
      </c>
      <c r="CG35" s="20" t="e">
        <f>CF35*#REF!</f>
        <v>#REF!</v>
      </c>
      <c r="CY35" s="21"/>
    </row>
    <row r="36" spans="1:106" s="16" customFormat="1" ht="22.5" customHeight="1" thickBot="1">
      <c r="A36" s="63"/>
      <c r="B36" s="64" t="s">
        <v>24</v>
      </c>
      <c r="C36" s="79"/>
      <c r="D36" s="65"/>
      <c r="E36" s="76"/>
      <c r="F36" s="57"/>
      <c r="G36" s="57"/>
      <c r="H36" s="57"/>
      <c r="L36" s="10"/>
      <c r="N36" s="17"/>
      <c r="Q36" s="18"/>
      <c r="AA36" s="19"/>
      <c r="AC36" s="17"/>
      <c r="AE36" s="20"/>
      <c r="AF36" s="18"/>
      <c r="BY36" s="17"/>
      <c r="CB36" s="18"/>
      <c r="CX36" s="19"/>
      <c r="CY36" s="17"/>
      <c r="DB36" s="18"/>
    </row>
    <row r="37" spans="1:106" s="16" customFormat="1" ht="24" customHeight="1" thickBot="1">
      <c r="A37" s="63"/>
      <c r="B37" s="64"/>
      <c r="C37" s="79"/>
      <c r="D37" s="66"/>
      <c r="E37" s="77"/>
      <c r="F37" s="57"/>
      <c r="G37" s="57"/>
      <c r="H37" s="57"/>
      <c r="I37" s="8"/>
      <c r="J37" s="8"/>
      <c r="K37" s="92" t="str">
        <f>N27</f>
        <v>Interest on note</v>
      </c>
      <c r="L37" s="93" t="str">
        <f>N23</f>
        <v>Deposit in transit</v>
      </c>
      <c r="N37" s="84" t="str">
        <f>CONCATENATE(Identification!B1&amp;" Corporation received its August 31 bank statement.")</f>
        <v>Enter Name Corporation received its August 31 bank statement.</v>
      </c>
      <c r="O37" s="84"/>
      <c r="P37" s="84"/>
      <c r="Q37" s="84"/>
      <c r="R37" s="84"/>
      <c r="S37" s="84"/>
      <c r="T37" s="19"/>
      <c r="U37" s="19"/>
      <c r="AC37" s="21"/>
      <c r="AF37" s="18"/>
      <c r="BY37" s="21"/>
      <c r="CF37" s="20" t="e">
        <f>ROUND(#REF!,0)*0.75</f>
        <v>#REF!</v>
      </c>
      <c r="CG37" s="20" t="e">
        <f>CF37*#REF!</f>
        <v>#REF!</v>
      </c>
      <c r="CY37" s="21"/>
    </row>
    <row r="38" spans="1:106" s="16" customFormat="1" ht="24" customHeight="1" thickBot="1">
      <c r="A38" s="63"/>
      <c r="B38" s="64"/>
      <c r="C38" s="79"/>
      <c r="D38" s="67"/>
      <c r="E38" s="77"/>
      <c r="F38" s="57"/>
      <c r="G38" s="57"/>
      <c r="H38" s="57"/>
      <c r="I38" s="10"/>
      <c r="J38" s="10"/>
      <c r="K38" s="93" t="str">
        <f>N30</f>
        <v>NSF Check fee</v>
      </c>
      <c r="L38" s="10" t="str">
        <f>N31</f>
        <v>Auto payments</v>
      </c>
      <c r="N38" s="33" t="str">
        <f>CONCATENATE("The bank statement showed a balance of "&amp;$P$32&amp;".")</f>
        <v>The bank statement showed a balance of $395,040.00.</v>
      </c>
      <c r="Q38" s="18"/>
      <c r="T38" s="19"/>
      <c r="U38" s="19"/>
      <c r="AC38" s="21"/>
      <c r="AF38" s="18"/>
      <c r="BY38" s="21"/>
      <c r="CF38" s="20" t="e">
        <f>ROUND(#REF!,0)*0.75</f>
        <v>#REF!</v>
      </c>
      <c r="CG38" s="20" t="e">
        <f>CF38*#REF!</f>
        <v>#REF!</v>
      </c>
      <c r="CY38" s="21"/>
    </row>
    <row r="39" spans="1:106" s="16" customFormat="1" ht="24" customHeight="1" thickBot="1">
      <c r="A39" s="63"/>
      <c r="B39" s="64"/>
      <c r="C39" s="79"/>
      <c r="D39" s="66"/>
      <c r="E39" s="78"/>
      <c r="F39" s="57"/>
      <c r="G39" s="69">
        <f>SUM(E36:E39)*-1</f>
        <v>0</v>
      </c>
      <c r="H39" s="57"/>
      <c r="I39" s="10"/>
      <c r="J39" s="10"/>
      <c r="K39" s="93" t="str">
        <f>N23</f>
        <v>Deposit in transit</v>
      </c>
      <c r="L39" s="93" t="str">
        <f>N29</f>
        <v>Interest earned on account</v>
      </c>
      <c r="N39" s="43" t="str">
        <f>CONCATENATE(T33&amp;S34&amp;".")</f>
        <v>This amount was less than the balance in the general ledger cash account by $12,498.00.</v>
      </c>
      <c r="O39" s="44"/>
      <c r="P39" s="44"/>
      <c r="Q39" s="45"/>
      <c r="R39" s="44"/>
      <c r="S39" s="44"/>
      <c r="T39" s="46"/>
      <c r="U39" s="19"/>
      <c r="AC39" s="21"/>
      <c r="AF39" s="18"/>
      <c r="BY39" s="21"/>
      <c r="CF39" s="20" t="e">
        <f>ROUND(#REF!,0)*0.75</f>
        <v>#REF!</v>
      </c>
      <c r="CG39" s="20" t="e">
        <f>CF39*#REF!</f>
        <v>#REF!</v>
      </c>
      <c r="CY39" s="21"/>
    </row>
    <row r="40" spans="1:106" s="16" customFormat="1" ht="24" customHeight="1">
      <c r="A40" s="70"/>
      <c r="B40" s="70"/>
      <c r="C40" s="70"/>
      <c r="D40" s="70"/>
      <c r="E40" s="70"/>
      <c r="F40" s="70"/>
      <c r="G40" s="70"/>
      <c r="H40" s="70"/>
      <c r="I40" s="10"/>
      <c r="J40" s="10"/>
      <c r="K40" s="29"/>
      <c r="L40" s="29"/>
      <c r="N40" s="33" t="str">
        <f>CONCATENATE(Identification!B1&amp;" made a deposit late in the afternoon of August 31 which did not appear on the August 31 bank statement.  The bank routinely notifies customers that deposits after 3 pm will be processed on the next  business day.")</f>
        <v>Enter Name made a deposit late in the afternoon of August 31 which did not appear on the August 31 bank statement.  The bank routinely notifies customers that deposits after 3 pm will be processed on the next  business day.</v>
      </c>
      <c r="Q40" s="18"/>
      <c r="T40" s="19"/>
      <c r="U40" s="19"/>
      <c r="AC40" s="21"/>
      <c r="AF40" s="18"/>
      <c r="BY40" s="21"/>
      <c r="CF40" s="20" t="e">
        <f>ROUND(#REF!,0)*0.75</f>
        <v>#REF!</v>
      </c>
      <c r="CG40" s="20" t="e">
        <f>CF40*#REF!</f>
        <v>#REF!</v>
      </c>
      <c r="CY40" s="21"/>
    </row>
    <row r="41" spans="1:106" s="16" customFormat="1" ht="24" customHeight="1">
      <c r="A41" s="70"/>
      <c r="B41" s="80" t="s">
        <v>25</v>
      </c>
      <c r="C41" s="81"/>
      <c r="D41" s="70"/>
      <c r="E41" s="70"/>
      <c r="F41" s="70"/>
      <c r="G41" s="74">
        <f>SUM(G30:G39)</f>
        <v>0</v>
      </c>
      <c r="H41" s="70"/>
      <c r="I41" s="10"/>
      <c r="J41" s="10"/>
      <c r="K41" s="93" t="str">
        <f>N25</f>
        <v>Service charge</v>
      </c>
      <c r="L41" s="44" t="s">
        <v>8</v>
      </c>
      <c r="N41" s="33" t="str">
        <f>CONCATENATE("The amount of the August 31 deposit was "&amp;$P$23&amp;".")</f>
        <v>The amount of the August 31 deposit was $24,690.00.</v>
      </c>
      <c r="Q41" s="18"/>
      <c r="T41" s="19"/>
      <c r="U41" s="19"/>
      <c r="AC41" s="21"/>
      <c r="AF41" s="18"/>
      <c r="BY41" s="21"/>
      <c r="CF41" s="20" t="e">
        <f>ROUND(#REF!,0)*0.75</f>
        <v>#REF!</v>
      </c>
      <c r="CG41" s="20" t="e">
        <f>CF41*#REF!</f>
        <v>#REF!</v>
      </c>
      <c r="CY41" s="21"/>
    </row>
    <row r="42" spans="1:106" s="16" customFormat="1" ht="24" customHeight="1">
      <c r="A42" s="63"/>
      <c r="B42" s="70"/>
      <c r="C42" s="71"/>
      <c r="D42" s="72"/>
      <c r="E42" s="73"/>
      <c r="F42" s="57"/>
      <c r="G42" s="57"/>
      <c r="H42" s="57"/>
      <c r="I42" s="10"/>
      <c r="J42" s="10"/>
      <c r="K42" s="93" t="str">
        <f>N29</f>
        <v>Interest earned on account</v>
      </c>
      <c r="L42" s="44" t="s">
        <v>12</v>
      </c>
      <c r="N42" s="33" t="str">
        <f>CONCATENATE("A note receivable left at the bank for collection from customer "&amp;T3&amp;" in the amount of "&amp;P26&amp;" was collected and funds were deposited into the bank account, along with interest income on the note in the amount of "&amp;P27&amp;".  " &amp;Identification!B1&amp;" was first made aware of this collection by review of the August bank statement.")</f>
        <v>A note receivable left at the bank for collection from customer Zapata in the amount of $6,000.00 was collected and funds were deposited into the bank account, along with interest income on the note in the amount of $540.00.  Enter Name was first made aware of this collection by review of the August bank statement.</v>
      </c>
      <c r="Q42" s="18"/>
      <c r="T42" s="19"/>
      <c r="U42" s="19"/>
      <c r="AC42" s="21"/>
      <c r="AF42" s="18"/>
      <c r="BY42" s="21"/>
      <c r="CF42" s="20" t="e">
        <f>ROUND(#REF!,0)*0.75</f>
        <v>#REF!</v>
      </c>
      <c r="CG42" s="20" t="e">
        <f>CF42*#REF!</f>
        <v>#REF!</v>
      </c>
      <c r="CY42" s="21"/>
    </row>
    <row r="43" spans="1:106" s="16" customFormat="1" ht="24" customHeight="1">
      <c r="J43" s="10"/>
      <c r="K43" s="93" t="str">
        <f>N30</f>
        <v>NSF Check fee</v>
      </c>
      <c r="L43" s="44" t="s">
        <v>6</v>
      </c>
      <c r="N43" s="91"/>
      <c r="O43" s="91"/>
      <c r="Q43" s="18"/>
      <c r="T43" s="19"/>
      <c r="U43" s="19"/>
      <c r="W43" s="37"/>
      <c r="AC43" s="21"/>
      <c r="AF43" s="18"/>
      <c r="BY43" s="21"/>
      <c r="CF43" s="20" t="e">
        <f>ROUND(#REF!,0)*0.75</f>
        <v>#REF!</v>
      </c>
      <c r="CG43" s="20" t="e">
        <f>CF43*#REF!</f>
        <v>#REF!</v>
      </c>
      <c r="CY43" s="21"/>
    </row>
    <row r="44" spans="1:106" s="16" customFormat="1" ht="37.5" customHeight="1">
      <c r="A44" s="94" t="s">
        <v>29</v>
      </c>
      <c r="B44" s="94"/>
      <c r="C44" s="94"/>
      <c r="D44" s="94"/>
      <c r="E44" s="94"/>
      <c r="F44" s="97"/>
      <c r="G44" s="95">
        <v>0</v>
      </c>
      <c r="H44" s="44"/>
      <c r="I44" s="44"/>
      <c r="J44" s="10"/>
      <c r="K44" s="10"/>
      <c r="L44" s="10"/>
      <c r="N44" s="35"/>
      <c r="Q44" s="18"/>
      <c r="T44" s="19"/>
      <c r="U44" s="19"/>
      <c r="W44" s="38"/>
      <c r="AC44" s="21"/>
      <c r="AF44" s="18"/>
      <c r="BY44" s="21"/>
      <c r="CF44" s="20" t="e">
        <f>ROUND(#REF!,0)*0.75</f>
        <v>#REF!</v>
      </c>
      <c r="CG44" s="20" t="e">
        <f>CF44*#REF!</f>
        <v>#REF!</v>
      </c>
      <c r="CY44" s="21"/>
    </row>
    <row r="45" spans="1:106" s="16" customFormat="1" ht="22.5" customHeight="1">
      <c r="A45" s="48"/>
      <c r="B45" s="26"/>
      <c r="C45" s="26"/>
      <c r="D45" s="48"/>
      <c r="E45" s="48"/>
      <c r="F45" s="48"/>
      <c r="G45" s="10"/>
      <c r="H45" s="44"/>
      <c r="I45" s="44"/>
      <c r="J45" s="44"/>
      <c r="K45" s="10"/>
      <c r="L45" s="10"/>
      <c r="M45" s="10"/>
      <c r="N45" s="10"/>
      <c r="Q45" s="18"/>
      <c r="W45" s="39"/>
      <c r="AC45" s="17"/>
      <c r="AE45" s="20"/>
      <c r="AF45" s="18"/>
      <c r="BY45" s="17"/>
      <c r="CB45" s="18"/>
      <c r="CX45" s="19"/>
      <c r="CY45" s="17"/>
      <c r="DB45" s="18"/>
    </row>
    <row r="46" spans="1:106" s="16" customFormat="1" ht="37.5" customHeight="1">
      <c r="A46" s="94" t="s">
        <v>30</v>
      </c>
      <c r="B46" s="94"/>
      <c r="C46" s="94"/>
      <c r="D46" s="94"/>
      <c r="E46" s="94"/>
      <c r="F46" s="97"/>
      <c r="G46" s="95">
        <v>0</v>
      </c>
      <c r="H46" s="44"/>
      <c r="I46" s="10"/>
      <c r="J46" s="8"/>
      <c r="K46" s="10"/>
      <c r="L46" s="96">
        <f>ABS(X26-X23)</f>
        <v>3405</v>
      </c>
      <c r="M46" s="10"/>
      <c r="N46" s="10"/>
      <c r="Q46" s="18"/>
      <c r="T46" s="19"/>
      <c r="U46" s="19"/>
      <c r="W46" s="39"/>
      <c r="AC46" s="21"/>
      <c r="AF46" s="18"/>
      <c r="BY46" s="21"/>
      <c r="CF46" s="20" t="e">
        <f>ROUND(#REF!,0)*0.75</f>
        <v>#REF!</v>
      </c>
      <c r="CG46" s="20" t="e">
        <f>CF46*#REF!</f>
        <v>#REF!</v>
      </c>
      <c r="CY46" s="21"/>
    </row>
    <row r="47" spans="1:106" s="16" customFormat="1" ht="24" customHeight="1">
      <c r="A47" s="10"/>
      <c r="B47" s="10"/>
      <c r="C47" s="10"/>
      <c r="D47" s="10"/>
      <c r="E47" s="10"/>
      <c r="F47" s="10"/>
      <c r="G47" s="10"/>
      <c r="H47" s="10"/>
      <c r="I47" s="10"/>
      <c r="J47" s="10"/>
      <c r="K47" s="10"/>
      <c r="L47" s="10"/>
      <c r="M47" s="10"/>
      <c r="N47" s="10"/>
      <c r="Q47" s="18"/>
      <c r="T47" s="19"/>
      <c r="U47" s="19"/>
      <c r="W47" s="39"/>
      <c r="AC47" s="21"/>
      <c r="AF47" s="18"/>
      <c r="BY47" s="21"/>
      <c r="CF47" s="20" t="e">
        <f>ROUND(#REF!,0)*0.75</f>
        <v>#REF!</v>
      </c>
      <c r="CG47" s="20" t="e">
        <f>CF47*#REF!</f>
        <v>#REF!</v>
      </c>
      <c r="CY47" s="21"/>
    </row>
    <row r="48" spans="1:106" s="16" customFormat="1" ht="34.5" customHeight="1">
      <c r="A48" s="94" t="s">
        <v>31</v>
      </c>
      <c r="B48" s="94"/>
      <c r="C48" s="94"/>
      <c r="D48" s="94"/>
      <c r="E48" s="94"/>
      <c r="F48" s="97"/>
      <c r="G48" s="95"/>
      <c r="H48" s="44"/>
      <c r="I48" s="10"/>
      <c r="J48" s="10"/>
      <c r="K48" s="10"/>
      <c r="L48" s="96">
        <f>(X26-X23)</f>
        <v>-3405</v>
      </c>
      <c r="M48" s="10"/>
      <c r="N48" s="10"/>
      <c r="O48" s="16" t="s">
        <v>32</v>
      </c>
      <c r="Q48" s="18"/>
      <c r="T48" s="19"/>
      <c r="U48" s="19"/>
      <c r="W48" s="39"/>
      <c r="AC48" s="21"/>
      <c r="AF48" s="18"/>
      <c r="BY48" s="21"/>
      <c r="CF48" s="20" t="e">
        <f>ROUND(#REF!,0)*0.75</f>
        <v>#REF!</v>
      </c>
      <c r="CG48" s="20" t="e">
        <f>CF48*#REF!</f>
        <v>#REF!</v>
      </c>
      <c r="CY48" s="21"/>
    </row>
    <row r="49" spans="1:106" s="16" customFormat="1" ht="24" customHeight="1">
      <c r="A49" s="10"/>
      <c r="B49" s="10"/>
      <c r="C49" s="10"/>
      <c r="D49" s="10"/>
      <c r="E49" s="10"/>
      <c r="F49" s="10"/>
      <c r="G49" s="10"/>
      <c r="H49" s="10"/>
      <c r="I49" s="10"/>
      <c r="J49" s="10"/>
      <c r="K49" s="10"/>
      <c r="L49" s="10" t="str">
        <f>IF(L48&gt;=0,"debit","credit")</f>
        <v>credit</v>
      </c>
      <c r="M49" s="10"/>
      <c r="N49" s="10"/>
      <c r="O49" s="16" t="s">
        <v>33</v>
      </c>
      <c r="Q49" s="18"/>
      <c r="T49" s="19"/>
      <c r="U49" s="19"/>
      <c r="W49" s="39"/>
      <c r="AC49" s="21"/>
      <c r="AF49" s="18"/>
      <c r="BY49" s="21"/>
      <c r="CF49" s="20" t="e">
        <f>ROUND(#REF!,0)*0.75</f>
        <v>#REF!</v>
      </c>
      <c r="CG49" s="20" t="e">
        <f>CF49*#REF!</f>
        <v>#REF!</v>
      </c>
      <c r="CY49" s="21"/>
    </row>
    <row r="50" spans="1:106" s="16" customFormat="1" ht="24" hidden="1" customHeight="1">
      <c r="A50" s="10"/>
      <c r="B50" s="10"/>
      <c r="C50" s="10"/>
      <c r="D50" s="10"/>
      <c r="E50" s="10"/>
      <c r="F50" s="10"/>
      <c r="G50" s="10"/>
      <c r="H50" s="10"/>
      <c r="I50" s="10"/>
      <c r="J50" s="10"/>
      <c r="L50" s="10"/>
      <c r="N50" s="35"/>
      <c r="Q50" s="18"/>
      <c r="T50" s="19"/>
      <c r="U50" s="19"/>
      <c r="W50" s="39"/>
      <c r="AC50" s="21"/>
      <c r="AF50" s="18"/>
      <c r="BY50" s="21"/>
      <c r="CF50" s="20" t="e">
        <f>ROUND(#REF!,0)*0.75</f>
        <v>#REF!</v>
      </c>
      <c r="CG50" s="20" t="e">
        <f>CF50*#REF!</f>
        <v>#REF!</v>
      </c>
      <c r="CY50" s="21"/>
    </row>
    <row r="51" spans="1:106" s="16" customFormat="1" ht="22.5" hidden="1" customHeight="1">
      <c r="A51" s="10"/>
      <c r="B51" s="10"/>
      <c r="C51" s="10"/>
      <c r="D51" s="10"/>
      <c r="E51" s="10"/>
      <c r="F51" s="10"/>
      <c r="G51" s="10"/>
      <c r="H51" s="10"/>
      <c r="I51" s="10"/>
      <c r="J51" s="10"/>
      <c r="N51" s="35"/>
      <c r="Q51" s="18"/>
      <c r="W51" s="39"/>
      <c r="AC51" s="17"/>
      <c r="AE51" s="20"/>
      <c r="AF51" s="18"/>
      <c r="BY51" s="17"/>
      <c r="CB51" s="18"/>
      <c r="CX51" s="19"/>
      <c r="CY51" s="17"/>
      <c r="DB51" s="18"/>
    </row>
    <row r="52" spans="1:106" s="16" customFormat="1" ht="24" hidden="1" customHeight="1">
      <c r="A52" s="10"/>
      <c r="B52" s="10"/>
      <c r="C52" s="10"/>
      <c r="D52" s="10"/>
      <c r="E52" s="10"/>
      <c r="F52" s="10"/>
      <c r="G52" s="10"/>
      <c r="H52" s="10"/>
      <c r="I52" s="10"/>
      <c r="J52" s="10"/>
      <c r="K52" s="8"/>
      <c r="L52" s="9"/>
      <c r="N52" s="35"/>
      <c r="Q52" s="18"/>
      <c r="T52" s="19"/>
      <c r="U52" s="19"/>
      <c r="W52" s="39"/>
      <c r="AC52" s="21"/>
      <c r="AF52" s="18"/>
      <c r="BY52" s="21"/>
      <c r="CF52" s="20" t="e">
        <f>ROUND(#REF!,0)*0.75</f>
        <v>#REF!</v>
      </c>
      <c r="CG52" s="20" t="e">
        <f>CF52*#REF!</f>
        <v>#REF!</v>
      </c>
      <c r="CY52" s="21"/>
    </row>
    <row r="53" spans="1:106" s="16" customFormat="1" ht="24" hidden="1" customHeight="1">
      <c r="A53" s="10"/>
      <c r="B53" s="10"/>
      <c r="C53" s="10"/>
      <c r="D53" s="10"/>
      <c r="E53" s="10"/>
      <c r="F53" s="10"/>
      <c r="G53" s="10"/>
      <c r="H53" s="10"/>
      <c r="I53" s="10"/>
      <c r="J53" s="10"/>
      <c r="K53" s="10"/>
      <c r="L53" s="10"/>
      <c r="N53" s="34"/>
      <c r="Q53" s="18"/>
      <c r="T53" s="19"/>
      <c r="U53" s="19"/>
      <c r="W53" s="39"/>
      <c r="AC53" s="21"/>
      <c r="AF53" s="18"/>
      <c r="BY53" s="21"/>
      <c r="CF53" s="20" t="e">
        <f>ROUND(#REF!,0)*0.75</f>
        <v>#REF!</v>
      </c>
      <c r="CG53" s="20" t="e">
        <f>CF53*#REF!</f>
        <v>#REF!</v>
      </c>
      <c r="CY53" s="21"/>
    </row>
    <row r="54" spans="1:106" s="16" customFormat="1" ht="24" hidden="1" customHeight="1">
      <c r="A54" s="10"/>
      <c r="B54" s="10"/>
      <c r="C54" s="10"/>
      <c r="D54" s="10"/>
      <c r="E54" s="10"/>
      <c r="F54" s="10"/>
      <c r="G54" s="10"/>
      <c r="H54" s="10"/>
      <c r="I54" s="10"/>
      <c r="J54" s="10"/>
      <c r="K54" s="10"/>
      <c r="L54" s="29"/>
      <c r="N54" s="34"/>
      <c r="Q54" s="18"/>
      <c r="T54" s="19"/>
      <c r="U54" s="19"/>
      <c r="W54" s="39"/>
      <c r="AC54" s="21"/>
      <c r="AF54" s="18"/>
      <c r="BY54" s="21"/>
      <c r="CF54" s="20" t="e">
        <f>ROUND(#REF!,0)*0.75</f>
        <v>#REF!</v>
      </c>
      <c r="CG54" s="20" t="e">
        <f>CF54*#REF!</f>
        <v>#REF!</v>
      </c>
      <c r="CY54" s="21"/>
    </row>
    <row r="55" spans="1:106" s="16" customFormat="1" ht="24" hidden="1" customHeight="1">
      <c r="A55" s="10"/>
      <c r="B55" s="10"/>
      <c r="C55" s="10"/>
      <c r="D55" s="10"/>
      <c r="E55" s="10"/>
      <c r="F55" s="10"/>
      <c r="G55" s="10"/>
      <c r="H55" s="10"/>
      <c r="I55" s="10"/>
      <c r="J55" s="10"/>
      <c r="K55" s="10"/>
      <c r="L55" s="10"/>
      <c r="N55" s="34"/>
      <c r="Q55" s="18"/>
      <c r="T55" s="19"/>
      <c r="U55" s="19"/>
      <c r="W55" s="39"/>
      <c r="AC55" s="21"/>
      <c r="AF55" s="18"/>
      <c r="BY55" s="21"/>
      <c r="CF55" s="20" t="e">
        <f>ROUND(#REF!,0)*0.75</f>
        <v>#REF!</v>
      </c>
      <c r="CG55" s="20" t="e">
        <f>CF55*#REF!</f>
        <v>#REF!</v>
      </c>
      <c r="CY55" s="21"/>
    </row>
    <row r="56" spans="1:106" s="16" customFormat="1" ht="24" hidden="1" customHeight="1">
      <c r="A56" s="10"/>
      <c r="B56" s="10"/>
      <c r="C56" s="10"/>
      <c r="D56" s="10"/>
      <c r="E56" s="10"/>
      <c r="F56" s="10"/>
      <c r="G56" s="10"/>
      <c r="H56" s="10"/>
      <c r="I56" s="10"/>
      <c r="J56" s="10"/>
      <c r="L56" s="10"/>
      <c r="N56" s="34"/>
      <c r="Q56" s="18"/>
      <c r="T56" s="19"/>
      <c r="U56" s="19"/>
      <c r="W56" s="40"/>
      <c r="AC56" s="21"/>
      <c r="AF56" s="18"/>
      <c r="BY56" s="21"/>
      <c r="CF56" s="20" t="e">
        <f>ROUND(#REF!,0)*0.75</f>
        <v>#REF!</v>
      </c>
      <c r="CG56" s="20" t="e">
        <f>CF56*#REF!</f>
        <v>#REF!</v>
      </c>
      <c r="CY56" s="21"/>
    </row>
    <row r="57" spans="1:106" s="16" customFormat="1" ht="24" hidden="1" customHeight="1">
      <c r="A57" s="10"/>
      <c r="B57" s="10"/>
      <c r="C57" s="10"/>
      <c r="D57" s="10"/>
      <c r="E57" s="10"/>
      <c r="F57" s="10"/>
      <c r="G57" s="10"/>
      <c r="H57" s="10"/>
      <c r="I57" s="10"/>
      <c r="J57" s="10"/>
      <c r="L57" s="10"/>
      <c r="N57" s="34"/>
      <c r="Q57" s="18"/>
      <c r="T57" s="19"/>
      <c r="U57" s="19"/>
      <c r="W57" s="40"/>
      <c r="AC57" s="21"/>
      <c r="AF57" s="18"/>
      <c r="BY57" s="21"/>
      <c r="CF57" s="20"/>
      <c r="CG57" s="20"/>
      <c r="CY57" s="21"/>
    </row>
    <row r="58" spans="1:106" hidden="1">
      <c r="A58" s="10"/>
      <c r="B58" s="10"/>
      <c r="C58" s="10"/>
      <c r="D58" s="10"/>
      <c r="E58" s="10"/>
      <c r="F58" s="10"/>
      <c r="G58" s="10"/>
      <c r="H58" s="10"/>
      <c r="I58" s="10"/>
      <c r="J58" s="10"/>
    </row>
    <row r="59" spans="1:106" hidden="1">
      <c r="A59" s="10"/>
      <c r="B59" s="10"/>
      <c r="C59" s="10"/>
      <c r="D59" s="10"/>
      <c r="E59" s="10"/>
      <c r="F59" s="10"/>
      <c r="G59" s="10"/>
      <c r="H59" s="10"/>
      <c r="I59" s="10"/>
      <c r="J59" s="10"/>
    </row>
    <row r="60" spans="1:106" hidden="1"/>
    <row r="61" spans="1:106" hidden="1"/>
    <row r="62" spans="1:106" hidden="1"/>
    <row r="63" spans="1:106" hidden="1"/>
    <row r="64" spans="1:106"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sheetData>
  <sheetProtection algorithmName="SHA-512" hashValue="oDV6nwYcEUMNF2rnXvBrrAPK/xm/qlTLrtb/HU3D/Efe4cT7zMvhAj5Esh/1C2ieSU4Q86ckv2pa2wQYHKttnQ==" saltValue="b+fG92JnIxT2z7fMmirz1g==" spinCount="100000" sheet="1" objects="1" scenarios="1"/>
  <mergeCells count="21">
    <mergeCell ref="A11:G11"/>
    <mergeCell ref="A2:G2"/>
    <mergeCell ref="A5:G5"/>
    <mergeCell ref="A6:G6"/>
    <mergeCell ref="A7:G7"/>
    <mergeCell ref="A3:G3"/>
    <mergeCell ref="A4:G4"/>
    <mergeCell ref="B41:C41"/>
    <mergeCell ref="K7:Q7"/>
    <mergeCell ref="A12:G12"/>
    <mergeCell ref="A13:G13"/>
    <mergeCell ref="A15:H15"/>
    <mergeCell ref="B16:C16"/>
    <mergeCell ref="B26:C26"/>
    <mergeCell ref="A29:H29"/>
    <mergeCell ref="B30:C30"/>
    <mergeCell ref="N37:S37"/>
    <mergeCell ref="N43:O43"/>
    <mergeCell ref="A8:G8"/>
    <mergeCell ref="A9:G9"/>
    <mergeCell ref="A10:G10"/>
  </mergeCells>
  <phoneticPr fontId="2" type="noConversion"/>
  <conditionalFormatting sqref="G16">
    <cfRule type="cellIs" dxfId="38" priority="69" operator="equal">
      <formula>$O$32</formula>
    </cfRule>
  </conditionalFormatting>
  <conditionalFormatting sqref="G18">
    <cfRule type="cellIs" dxfId="37" priority="67" operator="equal">
      <formula>$O$23</formula>
    </cfRule>
  </conditionalFormatting>
  <conditionalFormatting sqref="E23">
    <cfRule type="cellIs" dxfId="36" priority="45" operator="equal">
      <formula>$O$20</formula>
    </cfRule>
  </conditionalFormatting>
  <conditionalFormatting sqref="E21">
    <cfRule type="cellIs" dxfId="35" priority="47" operator="equal">
      <formula>$O$18</formula>
    </cfRule>
  </conditionalFormatting>
  <conditionalFormatting sqref="E22">
    <cfRule type="cellIs" dxfId="34" priority="46" operator="equal">
      <formula>$O$19</formula>
    </cfRule>
  </conditionalFormatting>
  <conditionalFormatting sqref="E24">
    <cfRule type="cellIs" dxfId="33" priority="44" operator="equal">
      <formula>$O$21</formula>
    </cfRule>
  </conditionalFormatting>
  <conditionalFormatting sqref="G24">
    <cfRule type="cellIs" dxfId="32" priority="43" operator="equal">
      <formula>$M$21</formula>
    </cfRule>
  </conditionalFormatting>
  <conditionalFormatting sqref="G26">
    <cfRule type="cellIs" dxfId="31" priority="42" operator="equal">
      <formula>$U$26</formula>
    </cfRule>
  </conditionalFormatting>
  <conditionalFormatting sqref="G30">
    <cfRule type="cellIs" dxfId="30" priority="41" operator="equal">
      <formula>$O$33</formula>
    </cfRule>
  </conditionalFormatting>
  <conditionalFormatting sqref="E39">
    <cfRule type="cellIs" dxfId="29" priority="25" operator="equal">
      <formula>$O$31</formula>
    </cfRule>
  </conditionalFormatting>
  <conditionalFormatting sqref="E38">
    <cfRule type="cellIs" dxfId="28" priority="26" operator="equal">
      <formula>$O$30</formula>
    </cfRule>
  </conditionalFormatting>
  <conditionalFormatting sqref="E42">
    <cfRule type="cellIs" dxfId="27" priority="20" operator="equal">
      <formula>$O$23</formula>
    </cfRule>
  </conditionalFormatting>
  <conditionalFormatting sqref="G41">
    <cfRule type="cellIs" dxfId="26" priority="16" operator="equal">
      <formula>$X$26</formula>
    </cfRule>
  </conditionalFormatting>
  <conditionalFormatting sqref="E34">
    <cfRule type="cellIs" dxfId="25" priority="13" operator="equal">
      <formula>$O$29</formula>
    </cfRule>
  </conditionalFormatting>
  <conditionalFormatting sqref="E32">
    <cfRule type="cellIs" dxfId="24" priority="15" operator="equal">
      <formula>$O$26</formula>
    </cfRule>
  </conditionalFormatting>
  <conditionalFormatting sqref="E33">
    <cfRule type="cellIs" dxfId="23" priority="14" operator="equal">
      <formula>$O$27</formula>
    </cfRule>
  </conditionalFormatting>
  <conditionalFormatting sqref="E36">
    <cfRule type="cellIs" dxfId="22" priority="12" operator="equal">
      <formula>$O$25</formula>
    </cfRule>
  </conditionalFormatting>
  <conditionalFormatting sqref="E37">
    <cfRule type="cellIs" dxfId="21" priority="11" operator="equal">
      <formula>$O$28</formula>
    </cfRule>
  </conditionalFormatting>
  <conditionalFormatting sqref="G34">
    <cfRule type="cellIs" dxfId="20" priority="9" operator="equal">
      <formula>$X$24</formula>
    </cfRule>
  </conditionalFormatting>
  <conditionalFormatting sqref="G39">
    <cfRule type="cellIs" dxfId="19" priority="8" operator="equal">
      <formula>$X$25</formula>
    </cfRule>
  </conditionalFormatting>
  <conditionalFormatting sqref="G44">
    <cfRule type="cellIs" dxfId="3" priority="5" operator="equal">
      <formula>$X$26</formula>
    </cfRule>
  </conditionalFormatting>
  <conditionalFormatting sqref="G46">
    <cfRule type="cellIs" dxfId="2" priority="3" operator="equal">
      <formula>$L$46</formula>
    </cfRule>
  </conditionalFormatting>
  <conditionalFormatting sqref="G48">
    <cfRule type="cellIs" dxfId="1" priority="2" operator="equal">
      <formula>$L$46</formula>
    </cfRule>
  </conditionalFormatting>
  <dataValidations count="13">
    <dataValidation type="list" allowBlank="1" showInputMessage="1" showErrorMessage="1" sqref="G16 G18 E21:E24 G30 E32:E34 E36:E39">
      <formula1>$O$18:$O$33</formula1>
    </dataValidation>
    <dataValidation type="list" allowBlank="1" showInputMessage="1" showErrorMessage="1" sqref="C39">
      <formula1>$L$36:$L$39</formula1>
    </dataValidation>
    <dataValidation type="list" allowBlank="1" showInputMessage="1" showErrorMessage="1" sqref="C18">
      <formula1>$L$14:$L$18</formula1>
    </dataValidation>
    <dataValidation type="list" allowBlank="1" showInputMessage="1" showErrorMessage="1" sqref="C20">
      <formula1>$L$19:$L$23</formula1>
    </dataValidation>
    <dataValidation type="list" allowBlank="1" showInputMessage="1" showErrorMessage="1" sqref="C21">
      <formula1>$L$24:$L$27</formula1>
    </dataValidation>
    <dataValidation type="list" allowBlank="1" showInputMessage="1" showErrorMessage="1" sqref="C22 C32">
      <formula1>$K$24:$K$27</formula1>
    </dataValidation>
    <dataValidation type="list" allowBlank="1" showInputMessage="1" showErrorMessage="1" sqref="C23">
      <formula1>$K$28:$K$31</formula1>
    </dataValidation>
    <dataValidation type="list" allowBlank="1" showInputMessage="1" showErrorMessage="1" sqref="C24">
      <formula1>$L$28:$L$31</formula1>
    </dataValidation>
    <dataValidation type="list" allowBlank="1" showInputMessage="1" showErrorMessage="1" sqref="C33 C38">
      <formula1>$K$36:$K$39</formula1>
    </dataValidation>
    <dataValidation type="list" allowBlank="1" showInputMessage="1" showErrorMessage="1" sqref="C34">
      <formula1>$K$40:$K$43</formula1>
    </dataValidation>
    <dataValidation type="list" allowBlank="1" showInputMessage="1" showErrorMessage="1" sqref="C37">
      <formula1>$L$32:$L$35</formula1>
    </dataValidation>
    <dataValidation type="list" allowBlank="1" showInputMessage="1" showErrorMessage="1" sqref="C36">
      <formula1>$L$40:$L$43</formula1>
    </dataValidation>
    <dataValidation type="list" allowBlank="1" showInputMessage="1" showErrorMessage="1" sqref="G48">
      <formula1>$O$47:$O$49</formula1>
    </dataValidation>
  </dataValidations>
  <pageMargins left="0.75" right="0.75" top="1.75" bottom="1" header="0.75" footer="0.5"/>
  <pageSetup orientation="portrait" r:id="rId1"/>
  <headerFooter alignWithMargins="0">
    <oddHeader>&amp;R&amp;"Myriad Web Pro,Bold"&amp;20I-02.04</oddHeader>
  </headerFooter>
  <legacyDrawingHF r:id="rId2"/>
  <extLst>
    <ext xmlns:x14="http://schemas.microsoft.com/office/spreadsheetml/2009/9/main" uri="{78C0D931-6437-407d-A8EE-F0AAD7539E65}">
      <x14:conditionalFormattings>
        <x14:conditionalFormatting xmlns:xm="http://schemas.microsoft.com/office/excel/2006/main">
          <x14:cfRule type="containsText" priority="68" operator="containsText" id="{3F42ADB4-3FAF-4FFB-BD82-D61EB37B23E1}">
            <xm:f>NOT(ISERROR(SEARCH($N$23,C18)))</xm:f>
            <xm:f>$N$23</xm:f>
            <x14:dxf>
              <fill>
                <patternFill>
                  <bgColor rgb="FF00FF00"/>
                </patternFill>
              </fill>
            </x14:dxf>
          </x14:cfRule>
          <xm:sqref>C18</xm:sqref>
        </x14:conditionalFormatting>
        <x14:conditionalFormatting xmlns:xm="http://schemas.microsoft.com/office/excel/2006/main">
          <x14:cfRule type="containsText" priority="62" operator="containsText" id="{A9856DFD-3B31-4134-89AA-3A319B2053D0}">
            <xm:f>NOT(ISERROR(SEARCH($N$21,C25)))</xm:f>
            <xm:f>$N$21</xm:f>
            <x14:dxf>
              <fill>
                <patternFill>
                  <bgColor rgb="FF00FF00"/>
                </patternFill>
              </fill>
            </x14:dxf>
          </x14:cfRule>
          <xm:sqref>C25</xm:sqref>
        </x14:conditionalFormatting>
        <x14:conditionalFormatting xmlns:xm="http://schemas.microsoft.com/office/excel/2006/main">
          <x14:cfRule type="containsText" priority="55" operator="containsText" id="{47BDD447-B92E-4891-B73E-57F5C95B4E72}">
            <xm:f>NOT(ISERROR(SEARCH($N$17,C20)))</xm:f>
            <xm:f>$N$17</xm:f>
            <x14:dxf>
              <fill>
                <patternFill>
                  <bgColor rgb="FF00FF00"/>
                </patternFill>
              </fill>
            </x14:dxf>
          </x14:cfRule>
          <xm:sqref>C20</xm:sqref>
        </x14:conditionalFormatting>
        <x14:conditionalFormatting xmlns:xm="http://schemas.microsoft.com/office/excel/2006/main">
          <x14:cfRule type="containsText" priority="54" operator="containsText" id="{D30F3C15-D0B5-4277-8FAE-5B55B8DD2118}">
            <xm:f>NOT(ISERROR(SEARCH($N$18,C21)))</xm:f>
            <xm:f>$N$18</xm:f>
            <x14:dxf>
              <fill>
                <patternFill>
                  <bgColor rgb="FF00FF00"/>
                </patternFill>
              </fill>
            </x14:dxf>
          </x14:cfRule>
          <xm:sqref>C21</xm:sqref>
        </x14:conditionalFormatting>
        <x14:conditionalFormatting xmlns:xm="http://schemas.microsoft.com/office/excel/2006/main">
          <x14:cfRule type="containsText" priority="53" operator="containsText" id="{DBFF6DA4-784C-4FB3-899A-CD67CC99CA12}">
            <xm:f>NOT(ISERROR(SEARCH($N$19,C22)))</xm:f>
            <xm:f>$N$19</xm:f>
            <x14:dxf>
              <fill>
                <patternFill>
                  <bgColor rgb="FF00FF00"/>
                </patternFill>
              </fill>
            </x14:dxf>
          </x14:cfRule>
          <xm:sqref>C22</xm:sqref>
        </x14:conditionalFormatting>
        <x14:conditionalFormatting xmlns:xm="http://schemas.microsoft.com/office/excel/2006/main">
          <x14:cfRule type="containsText" priority="52" operator="containsText" id="{8328E35B-3D92-42B0-8545-B71D48181A62}">
            <xm:f>NOT(ISERROR(SEARCH($N$20,C23)))</xm:f>
            <xm:f>$N$20</xm:f>
            <x14:dxf>
              <fill>
                <patternFill>
                  <bgColor rgb="FF00FF00"/>
                </patternFill>
              </fill>
            </x14:dxf>
          </x14:cfRule>
          <xm:sqref>C23</xm:sqref>
        </x14:conditionalFormatting>
        <x14:conditionalFormatting xmlns:xm="http://schemas.microsoft.com/office/excel/2006/main">
          <x14:cfRule type="containsText" priority="51" operator="containsText" id="{56091711-224B-4CAB-9B81-917A455A97F7}">
            <xm:f>NOT(ISERROR(SEARCH($N$21,C24)))</xm:f>
            <xm:f>$N$21</xm:f>
            <x14:dxf>
              <fill>
                <patternFill>
                  <bgColor rgb="FF00FF00"/>
                </patternFill>
              </fill>
            </x14:dxf>
          </x14:cfRule>
          <xm:sqref>C24</xm:sqref>
        </x14:conditionalFormatting>
        <x14:conditionalFormatting xmlns:xm="http://schemas.microsoft.com/office/excel/2006/main">
          <x14:cfRule type="containsText" priority="40" operator="containsText" id="{FC28B69C-6468-4FF1-A0D9-8CD1F31C1B15}">
            <xm:f>NOT(ISERROR(SEARCH($N$26,C32)))</xm:f>
            <xm:f>$N$26</xm:f>
            <x14:dxf>
              <fill>
                <patternFill>
                  <bgColor rgb="FF00FF00"/>
                </patternFill>
              </fill>
            </x14:dxf>
          </x14:cfRule>
          <xm:sqref>C32</xm:sqref>
        </x14:conditionalFormatting>
        <x14:conditionalFormatting xmlns:xm="http://schemas.microsoft.com/office/excel/2006/main">
          <x14:cfRule type="containsText" priority="37" operator="containsText" id="{1BA8E5A5-5209-446E-9F37-58750FDAB76F}">
            <xm:f>NOT(ISERROR(SEARCH($N$30,C38)))</xm:f>
            <xm:f>$N$30</xm:f>
            <x14:dxf>
              <fill>
                <patternFill>
                  <bgColor rgb="FF00FF00"/>
                </patternFill>
              </fill>
            </x14:dxf>
          </x14:cfRule>
          <xm:sqref>C38</xm:sqref>
        </x14:conditionalFormatting>
        <x14:conditionalFormatting xmlns:xm="http://schemas.microsoft.com/office/excel/2006/main">
          <x14:cfRule type="containsText" priority="36" operator="containsText" id="{31394356-8A35-4647-B327-78542D31376C}">
            <xm:f>NOT(ISERROR(SEARCH($N$31,C39)))</xm:f>
            <xm:f>$N$31</xm:f>
            <x14:dxf>
              <fill>
                <patternFill>
                  <bgColor rgb="FF00FF00"/>
                </patternFill>
              </fill>
            </x14:dxf>
          </x14:cfRule>
          <xm:sqref>C39</xm:sqref>
        </x14:conditionalFormatting>
        <x14:conditionalFormatting xmlns:xm="http://schemas.microsoft.com/office/excel/2006/main">
          <x14:cfRule type="containsText" priority="32" operator="containsText" id="{4865690D-5C3C-4FA0-B702-2D96EFCD60CA}">
            <xm:f>NOT(ISERROR(SEARCH($N$25,C36)))</xm:f>
            <xm:f>$N$25</xm:f>
            <x14:dxf>
              <fill>
                <patternFill>
                  <bgColor rgb="FF00FF00"/>
                </patternFill>
              </fill>
            </x14:dxf>
          </x14:cfRule>
          <xm:sqref>C36</xm:sqref>
        </x14:conditionalFormatting>
        <x14:conditionalFormatting xmlns:xm="http://schemas.microsoft.com/office/excel/2006/main">
          <x14:cfRule type="containsText" priority="21" operator="containsText" id="{2DE059D7-BB6A-4F72-9131-D84865290616}">
            <xm:f>NOT(ISERROR(SEARCH($N$21,C42)))</xm:f>
            <xm:f>$N$21</xm:f>
            <x14:dxf>
              <fill>
                <patternFill>
                  <bgColor rgb="FF00FF00"/>
                </patternFill>
              </fill>
            </x14:dxf>
          </x14:cfRule>
          <xm:sqref>C42</xm:sqref>
        </x14:conditionalFormatting>
        <x14:conditionalFormatting xmlns:xm="http://schemas.microsoft.com/office/excel/2006/main">
          <x14:cfRule type="containsText" priority="18" operator="containsText" id="{C1D5111C-F3B3-489E-8FC6-D686169A0C51}">
            <xm:f>NOT(ISERROR(SEARCH($N$27,C33)))</xm:f>
            <xm:f>$N$27</xm:f>
            <x14:dxf>
              <fill>
                <patternFill>
                  <bgColor rgb="FF00FF00"/>
                </patternFill>
              </fill>
            </x14:dxf>
          </x14:cfRule>
          <xm:sqref>C33</xm:sqref>
        </x14:conditionalFormatting>
        <x14:conditionalFormatting xmlns:xm="http://schemas.microsoft.com/office/excel/2006/main">
          <x14:cfRule type="containsText" priority="17" operator="containsText" id="{52FC56EB-1265-4645-81AF-35D98E9364C1}">
            <xm:f>NOT(ISERROR(SEARCH($N$29,C34)))</xm:f>
            <xm:f>$N$29</xm:f>
            <x14:dxf>
              <fill>
                <patternFill>
                  <bgColor rgb="FF00FF00"/>
                </patternFill>
              </fill>
            </x14:dxf>
          </x14:cfRule>
          <xm:sqref>C34</xm:sqref>
        </x14:conditionalFormatting>
        <x14:conditionalFormatting xmlns:xm="http://schemas.microsoft.com/office/excel/2006/main">
          <x14:cfRule type="containsText" priority="10" operator="containsText" id="{62B98DCC-F835-4BFC-9AB0-6686FC7B44ED}">
            <xm:f>NOT(ISERROR(SEARCH($N$28,C37)))</xm:f>
            <xm:f>$N$28</xm:f>
            <x14:dxf>
              <fill>
                <patternFill>
                  <bgColor rgb="FF00FF00"/>
                </patternFill>
              </fill>
            </x14:dxf>
          </x14:cfRule>
          <xm:sqref>C37</xm:sqref>
        </x14:conditionalFormatting>
        <x14:conditionalFormatting xmlns:xm="http://schemas.microsoft.com/office/excel/2006/main">
          <x14:cfRule type="containsText" priority="1" operator="containsText" id="{527B8A58-20F0-4341-8A56-02640BA3D3DB}">
            <xm:f>NOT(ISERROR(SEARCH($L$49,G48)))</xm:f>
            <xm:f>$L$49</xm:f>
            <x14:dxf>
              <fill>
                <patternFill>
                  <bgColor rgb="FF00FF00"/>
                </patternFill>
              </fill>
            </x14:dxf>
          </x14:cfRule>
          <xm:sqref>G48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Identification</vt:lpstr>
      <vt:lpstr>Problem</vt:lpstr>
    </vt:vector>
  </TitlesOfParts>
  <Company>UTA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Walther</dc:creator>
  <cp:lastModifiedBy>lmwal_000</cp:lastModifiedBy>
  <cp:lastPrinted>2013-03-26T15:10:11Z</cp:lastPrinted>
  <dcterms:created xsi:type="dcterms:W3CDTF">2007-01-29T16:43:50Z</dcterms:created>
  <dcterms:modified xsi:type="dcterms:W3CDTF">2017-01-20T21:05:22Z</dcterms:modified>
</cp:coreProperties>
</file>