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codeName="ThisWorkbook" defaultThemeVersion="124226"/>
  <mc:AlternateContent xmlns:mc="http://schemas.openxmlformats.org/markup-compatibility/2006">
    <mc:Choice Requires="x15">
      <x15ac:absPath xmlns:x15ac="http://schemas.microsoft.com/office/spreadsheetml/2010/11/ac" url="C:\Users\lmwal_000\Desktop\"/>
    </mc:Choice>
  </mc:AlternateContent>
  <workbookProtection workbookAlgorithmName="SHA-512" workbookHashValue="a5Q8qZELwiYZFy4nvdG2Pkia/dLXnmAd9gaDa9iEgpJS2vLydSPpxBWnjaKsORtPiIl2wbkVrZPHNHcp2vEMuA==" workbookSaltValue="ET+ytpkHWcaf+STaOtOk/Q==" workbookSpinCount="100000" lockStructure="1"/>
  <bookViews>
    <workbookView xWindow="0" yWindow="0" windowWidth="18225" windowHeight="5505" xr2:uid="{00000000-000D-0000-FFFF-FFFF00000000}"/>
  </bookViews>
  <sheets>
    <sheet name="Identification" sheetId="1" r:id="rId1"/>
    <sheet name="Problem" sheetId="4" r:id="rId2"/>
  </sheets>
  <definedNames>
    <definedName name="Accounts">Problem!$K$5:$K$11</definedName>
    <definedName name="Values">Problem!$K$13:$K$22</definedName>
  </definedNames>
  <calcPr calcId="171027"/>
</workbook>
</file>

<file path=xl/calcChain.xml><?xml version="1.0" encoding="utf-8"?>
<calcChain xmlns="http://schemas.openxmlformats.org/spreadsheetml/2006/main">
  <c r="M78" i="4" l="1"/>
  <c r="M3" i="4"/>
  <c r="F93" i="4" l="1"/>
  <c r="E31" i="4"/>
  <c r="P125" i="4"/>
  <c r="P126" i="4"/>
  <c r="E126" i="4" s="1"/>
  <c r="F130" i="4"/>
  <c r="B78" i="4" l="1"/>
  <c r="B3" i="4"/>
  <c r="J71" i="4"/>
  <c r="J70" i="4"/>
  <c r="J65" i="4"/>
  <c r="J64" i="4"/>
  <c r="J53" i="4"/>
  <c r="J52" i="4"/>
  <c r="J47" i="4"/>
  <c r="J46" i="4"/>
  <c r="J41" i="4"/>
  <c r="J40" i="4"/>
  <c r="C93" i="4"/>
  <c r="C92" i="4"/>
  <c r="K9" i="4"/>
  <c r="K8" i="4"/>
  <c r="K6" i="4"/>
  <c r="K7" i="4"/>
  <c r="K10" i="4"/>
  <c r="K11" i="4"/>
  <c r="B118" i="4"/>
  <c r="B119" i="4"/>
  <c r="M117" i="4"/>
  <c r="B117" i="4" s="1"/>
  <c r="F122" i="4"/>
  <c r="E125" i="4"/>
  <c r="P124" i="4"/>
  <c r="B85" i="4"/>
  <c r="M83" i="4"/>
  <c r="B83" i="4" s="1"/>
  <c r="M6" i="4"/>
  <c r="B6" i="4" s="1"/>
  <c r="B19" i="1"/>
  <c r="G71" i="1" s="1"/>
  <c r="B16" i="1"/>
  <c r="B17" i="1" s="1"/>
  <c r="B13" i="1"/>
  <c r="B14" i="1" s="1"/>
  <c r="B10" i="1"/>
  <c r="B11" i="1" s="1"/>
  <c r="B8" i="1"/>
  <c r="B9" i="1" s="1"/>
  <c r="E124" i="4" l="1"/>
  <c r="B18" i="1"/>
  <c r="D70" i="1" s="1"/>
  <c r="B12" i="1"/>
  <c r="G72" i="1"/>
  <c r="G77" i="1"/>
  <c r="AD3" i="4"/>
  <c r="AD9" i="4" s="1"/>
  <c r="H71" i="1"/>
  <c r="B15" i="1"/>
  <c r="C75" i="1" s="1"/>
  <c r="B20" i="1"/>
  <c r="B21" i="1" s="1"/>
  <c r="B23" i="1" l="1"/>
  <c r="H72" i="1"/>
  <c r="AE3" i="4"/>
  <c r="AE9" i="4" s="1"/>
  <c r="H77" i="1"/>
  <c r="G78" i="1"/>
  <c r="G73" i="1"/>
  <c r="AD4" i="4"/>
  <c r="AD10" i="4" s="1"/>
  <c r="G74" i="1" l="1"/>
  <c r="AD5" i="4"/>
  <c r="AD11" i="4" s="1"/>
  <c r="G79" i="1"/>
  <c r="AE4" i="4"/>
  <c r="AE10" i="4" s="1"/>
  <c r="H73" i="1"/>
  <c r="H78" i="1"/>
  <c r="C26" i="1"/>
  <c r="C30" i="1"/>
  <c r="C52" i="1"/>
  <c r="C64" i="1"/>
  <c r="C44" i="1"/>
  <c r="C69" i="1"/>
  <c r="C40" i="1"/>
  <c r="C65" i="1"/>
  <c r="C37" i="1"/>
  <c r="C34" i="1"/>
  <c r="C54" i="1"/>
  <c r="C36" i="1"/>
  <c r="C61" i="1"/>
  <c r="C51" i="1"/>
  <c r="C62" i="1"/>
  <c r="C50" i="1"/>
  <c r="C66" i="1"/>
  <c r="C53" i="1"/>
  <c r="C41" i="1"/>
  <c r="C46" i="1"/>
  <c r="C27" i="1"/>
  <c r="C32" i="1"/>
  <c r="C58" i="1"/>
  <c r="C49" i="1"/>
  <c r="C39" i="1"/>
  <c r="C38" i="1"/>
  <c r="C67" i="1"/>
  <c r="C35" i="1"/>
  <c r="C33" i="1"/>
  <c r="C28" i="1"/>
  <c r="C42" i="1"/>
  <c r="C70" i="1"/>
  <c r="C29" i="1"/>
  <c r="C45" i="1"/>
  <c r="C57" i="1"/>
  <c r="C63" i="1"/>
  <c r="C55" i="1"/>
  <c r="C31" i="1"/>
  <c r="C59" i="1"/>
  <c r="C60" i="1"/>
  <c r="C43" i="1"/>
  <c r="C48" i="1"/>
  <c r="C47" i="1"/>
  <c r="C68" i="1"/>
  <c r="C56" i="1"/>
  <c r="C71" i="1" l="1"/>
  <c r="H74" i="1"/>
  <c r="AE5" i="4"/>
  <c r="AE11" i="4" s="1"/>
  <c r="H79" i="1"/>
  <c r="G80" i="1"/>
  <c r="AD6" i="4"/>
  <c r="AE6" i="4" l="1"/>
  <c r="AE12" i="4" s="1"/>
  <c r="H80" i="1"/>
  <c r="C72" i="1"/>
  <c r="D71" i="1" s="1"/>
  <c r="C77" i="1"/>
  <c r="Z3" i="4"/>
  <c r="Z9" i="4" s="1"/>
  <c r="C73" i="1"/>
  <c r="Z5" i="4" l="1"/>
  <c r="Z11" i="4" s="1"/>
  <c r="C79" i="1"/>
  <c r="E71" i="1"/>
  <c r="D77" i="1"/>
  <c r="AA3" i="4"/>
  <c r="C78" i="1"/>
  <c r="D72" i="1"/>
  <c r="C74" i="1"/>
  <c r="Z4" i="4"/>
  <c r="Z10" i="4" s="1"/>
  <c r="AA9" i="4" s="1"/>
  <c r="E77" i="1" l="1"/>
  <c r="AB3" i="4"/>
  <c r="AB9" i="4" s="1"/>
  <c r="F71" i="1"/>
  <c r="C80" i="1"/>
  <c r="D74" i="1"/>
  <c r="Z6" i="4"/>
  <c r="Z12" i="4" s="1"/>
  <c r="D73" i="1"/>
  <c r="E72" i="1"/>
  <c r="F72" i="1" s="1"/>
  <c r="D78" i="1"/>
  <c r="AA4" i="4"/>
  <c r="AA10" i="4" s="1"/>
  <c r="AB10" i="4" s="1"/>
  <c r="D80" i="1" l="1"/>
  <c r="AA6" i="4"/>
  <c r="AA12" i="4" s="1"/>
  <c r="E74" i="1"/>
  <c r="F77" i="1"/>
  <c r="AC3" i="4"/>
  <c r="AC9" i="4" s="1"/>
  <c r="AC4" i="4"/>
  <c r="AC10" i="4" s="1"/>
  <c r="F78" i="1"/>
  <c r="E78" i="1"/>
  <c r="AB4" i="4"/>
  <c r="AA5" i="4"/>
  <c r="AA11" i="4" s="1"/>
  <c r="E73" i="1"/>
  <c r="F73" i="1" s="1"/>
  <c r="D79" i="1"/>
  <c r="F79" i="1" l="1"/>
  <c r="AC5" i="4"/>
  <c r="E80" i="1"/>
  <c r="AB6" i="4"/>
  <c r="AB12" i="4" s="1"/>
  <c r="F74" i="1"/>
  <c r="AB5" i="4"/>
  <c r="AB11" i="4" s="1"/>
  <c r="AC11" i="4" s="1"/>
  <c r="Y9" i="4" s="1"/>
  <c r="M37" i="4" s="1"/>
  <c r="E79" i="1"/>
  <c r="X9" i="4" l="1"/>
  <c r="P15" i="4"/>
  <c r="AC6" i="4"/>
  <c r="AC12" i="4" s="1"/>
  <c r="AD12" i="4" s="1"/>
  <c r="Y13" i="4" s="1"/>
  <c r="P16" i="4" s="1"/>
  <c r="F80" i="1"/>
  <c r="U9" i="4" l="1"/>
  <c r="M55" i="4" s="1"/>
  <c r="W9" i="4"/>
  <c r="V9" i="4"/>
  <c r="M49" i="4" s="1"/>
  <c r="Q26" i="4"/>
  <c r="F26" i="4" s="1"/>
  <c r="Q18" i="4"/>
  <c r="P12" i="4" s="1"/>
  <c r="W13" i="4"/>
  <c r="M67" i="4" s="1"/>
  <c r="X13" i="4"/>
  <c r="M61" i="4" l="1"/>
  <c r="B61" i="4" s="1"/>
  <c r="P40" i="4"/>
  <c r="M43" i="4"/>
  <c r="P46" i="4"/>
  <c r="P52" i="4"/>
  <c r="P23" i="4"/>
  <c r="P13" i="4"/>
  <c r="Q13" i="4" s="1"/>
  <c r="E12" i="4"/>
  <c r="Q95" i="4"/>
  <c r="P128" i="4" s="1"/>
  <c r="E128" i="4" s="1"/>
  <c r="Q16" i="4"/>
  <c r="E15" i="4"/>
  <c r="B37" i="4"/>
  <c r="P64" i="4"/>
  <c r="B67" i="4"/>
  <c r="V13" i="4"/>
  <c r="M73" i="4" s="1"/>
  <c r="E16" i="4"/>
  <c r="F18" i="4"/>
  <c r="Q103" i="4"/>
  <c r="P127" i="4"/>
  <c r="F95" i="4" l="1"/>
  <c r="Q19" i="4"/>
  <c r="Q33" i="4" s="1"/>
  <c r="E13" i="4"/>
  <c r="F13" i="4" s="1"/>
  <c r="P90" i="4"/>
  <c r="E90" i="4" s="1"/>
  <c r="E23" i="4"/>
  <c r="P24" i="4"/>
  <c r="Q24" i="4" s="1"/>
  <c r="Q27" i="4" s="1"/>
  <c r="P100" i="4"/>
  <c r="Q128" i="4"/>
  <c r="K14" i="4"/>
  <c r="Q41" i="4"/>
  <c r="K40" i="4"/>
  <c r="B43" i="4"/>
  <c r="F103" i="4"/>
  <c r="K64" i="4"/>
  <c r="Q65" i="4"/>
  <c r="P130" i="4" s="1"/>
  <c r="K22" i="4"/>
  <c r="F16" i="4"/>
  <c r="E127" i="4"/>
  <c r="F128" i="4" s="1"/>
  <c r="F131" i="4" s="1"/>
  <c r="B73" i="4"/>
  <c r="P70" i="4"/>
  <c r="P30" i="4" l="1"/>
  <c r="P107" i="4" s="1"/>
  <c r="E100" i="4"/>
  <c r="E24" i="4"/>
  <c r="F24" i="4" s="1"/>
  <c r="F27" i="4" s="1"/>
  <c r="P101" i="4"/>
  <c r="E101" i="4" s="1"/>
  <c r="F19" i="4"/>
  <c r="F33" i="4" s="1"/>
  <c r="K130" i="4"/>
  <c r="Q130" i="4"/>
  <c r="Q131" i="4" s="1"/>
  <c r="F132" i="4"/>
  <c r="F133" i="4" s="1"/>
  <c r="F135" i="4" s="1"/>
  <c r="B49" i="4"/>
  <c r="B55" i="4"/>
  <c r="K65" i="4"/>
  <c r="K41" i="4"/>
  <c r="Q71" i="4"/>
  <c r="Q76" i="4" s="1"/>
  <c r="K70" i="4"/>
  <c r="K21" i="4"/>
  <c r="Q32" i="4" l="1"/>
  <c r="E30" i="4"/>
  <c r="F32" i="4" s="1"/>
  <c r="Q101" i="4"/>
  <c r="Q104" i="4" s="1"/>
  <c r="F101" i="4"/>
  <c r="F104" i="4" s="1"/>
  <c r="K17" i="4"/>
  <c r="Q47" i="4"/>
  <c r="Q57" i="4" s="1"/>
  <c r="K46" i="4"/>
  <c r="K71" i="4"/>
  <c r="K76" i="4" l="1"/>
  <c r="P93" i="4"/>
  <c r="K93" i="4" s="1"/>
  <c r="K16" i="4"/>
  <c r="Q132" i="4"/>
  <c r="Q133" i="4" s="1"/>
  <c r="P108" i="4" s="1"/>
  <c r="K47" i="4"/>
  <c r="K52" i="4"/>
  <c r="Q53" i="4"/>
  <c r="K15" i="4"/>
  <c r="Q59" i="4" l="1"/>
  <c r="P92" i="4" s="1"/>
  <c r="K53" i="4"/>
  <c r="Q134" i="4"/>
  <c r="K134" i="4" s="1"/>
  <c r="P109" i="4"/>
  <c r="E109" i="4" s="1"/>
  <c r="K19" i="4"/>
  <c r="K57" i="4"/>
  <c r="K18" i="4" l="1"/>
  <c r="K59" i="4"/>
  <c r="Q135" i="4"/>
  <c r="K108" i="4"/>
  <c r="K20" i="4"/>
  <c r="Q93" i="4" l="1"/>
  <c r="K92" i="4"/>
  <c r="K136" i="4" l="1"/>
  <c r="K137" i="4"/>
  <c r="E107" i="4"/>
  <c r="F110" i="4" s="1"/>
  <c r="F111" i="4" s="1"/>
  <c r="Q110" i="4"/>
  <c r="Q111" i="4" s="1"/>
  <c r="Q96" i="4" s="1"/>
  <c r="P89" i="4" s="1"/>
  <c r="Q90" i="4" l="1"/>
  <c r="E89" i="4"/>
  <c r="F90" i="4" s="1"/>
  <c r="F96" i="4" l="1"/>
</calcChain>
</file>

<file path=xl/sharedStrings.xml><?xml version="1.0" encoding="utf-8"?>
<sst xmlns="http://schemas.openxmlformats.org/spreadsheetml/2006/main" count="227" uniqueCount="90">
  <si>
    <t>Student Name:</t>
  </si>
  <si>
    <t>5 Digit Identification Number:</t>
  </si>
  <si>
    <t>Date:</t>
  </si>
  <si>
    <t xml:space="preserve"> </t>
  </si>
  <si>
    <t>Random Number</t>
  </si>
  <si>
    <t>Random numbers</t>
  </si>
  <si>
    <t>Cash</t>
  </si>
  <si>
    <t>Balance Sheet</t>
  </si>
  <si>
    <t>Assets</t>
  </si>
  <si>
    <t>Current assets</t>
  </si>
  <si>
    <t>Accounts receivable</t>
  </si>
  <si>
    <t>Long-term Investments</t>
  </si>
  <si>
    <t>Property, plant, &amp; equipment</t>
    <phoneticPr fontId="1" type="noConversion"/>
  </si>
  <si>
    <t>Equipment (net of accumulated depreciation)</t>
  </si>
  <si>
    <t>Total assets</t>
  </si>
  <si>
    <t>Liabilities</t>
  </si>
  <si>
    <t>Current liabilities</t>
  </si>
  <si>
    <t>Accounts payable</t>
  </si>
  <si>
    <t>Utilities payable</t>
  </si>
  <si>
    <t>Long-term liabilities</t>
  </si>
  <si>
    <t>Loan payable</t>
  </si>
  <si>
    <t>Total liabilities</t>
  </si>
  <si>
    <t>Stockholders' equity</t>
  </si>
  <si>
    <t>Capital stock</t>
  </si>
  <si>
    <t>Retained earnings</t>
  </si>
  <si>
    <t>Total stockholders' equity</t>
  </si>
  <si>
    <t>Total liabilities and equity</t>
    <phoneticPr fontId="1" type="noConversion"/>
  </si>
  <si>
    <t>Accumulated other comprehensive income/loss</t>
  </si>
  <si>
    <t>Statement of Comprehensive Income</t>
  </si>
  <si>
    <t>Revenues</t>
  </si>
  <si>
    <t>Net sales</t>
  </si>
  <si>
    <t>Expenses</t>
  </si>
  <si>
    <t>Cost of goods sold</t>
  </si>
  <si>
    <t>Selling</t>
  </si>
  <si>
    <t>General &amp; administrative expenses</t>
  </si>
  <si>
    <t>Interest expense</t>
  </si>
  <si>
    <t>Equity method income</t>
  </si>
  <si>
    <t>Income before taxes</t>
  </si>
  <si>
    <t>Income tax expense</t>
  </si>
  <si>
    <t>Net income</t>
  </si>
  <si>
    <t>December 31, 20X1</t>
  </si>
  <si>
    <t>Machine Corporation Stock</t>
  </si>
  <si>
    <t>A)</t>
  </si>
  <si>
    <t>Initial Price</t>
  </si>
  <si>
    <t>DATE</t>
  </si>
  <si>
    <t>ACCOUNT</t>
  </si>
  <si>
    <t>DEBIT</t>
  </si>
  <si>
    <t>CREDIT</t>
  </si>
  <si>
    <t>3/15/X2</t>
  </si>
  <si>
    <t>7/1/X2</t>
  </si>
  <si>
    <t>10/11/X2</t>
  </si>
  <si>
    <t>B)</t>
  </si>
  <si>
    <t>AFS Security</t>
  </si>
  <si>
    <t>Equity Security</t>
  </si>
  <si>
    <t>Drop</t>
  </si>
  <si>
    <t>Raise</t>
  </si>
  <si>
    <t>BS Value</t>
  </si>
  <si>
    <t>% Owner</t>
  </si>
  <si>
    <t>Net Income</t>
  </si>
  <si>
    <t>Dividends</t>
  </si>
  <si>
    <t>10/1/X2</t>
  </si>
  <si>
    <t>Investment</t>
  </si>
  <si>
    <t>Investment Income</t>
  </si>
  <si>
    <t>C)</t>
  </si>
  <si>
    <t>D)</t>
  </si>
  <si>
    <t>E)</t>
  </si>
  <si>
    <t>December 31, 20X2</t>
  </si>
  <si>
    <t>Depreciation Expense</t>
  </si>
  <si>
    <t>Unrealized gain/loss - other comprehensive income</t>
  </si>
  <si>
    <t>For the year ending December 31, 20X2</t>
  </si>
  <si>
    <t>Incorrect</t>
  </si>
  <si>
    <t>Correct</t>
  </si>
  <si>
    <t>F)</t>
  </si>
  <si>
    <t>Comprehensive income</t>
  </si>
  <si>
    <t>BS Start</t>
  </si>
  <si>
    <t>Other Income Items</t>
  </si>
  <si>
    <t>Plug Figure</t>
  </si>
  <si>
    <t>Brown Coporation AFS debt securities</t>
  </si>
  <si>
    <t>Available-For-Sale Debt Securities</t>
  </si>
  <si>
    <t>Assuming no other transactions occurred that involved other comprehensive income, how much is reported as the net gain/loss in other comprehensive income for 20X2?</t>
  </si>
  <si>
    <t>At what amount should the Brown Corporation AFS securities be valued at on the balance sheet at the end of 20X2?</t>
  </si>
  <si>
    <t>Complete the problem below by selecting the correct answer from the drop-down list for each of the cells highlighted in red.  When the correct answer is selected for each of the journal entries and questions listed below, the cell will automatically turn green.</t>
  </si>
  <si>
    <t>Unrealized Loss/Other Comprehensive Income</t>
  </si>
  <si>
    <t>Unrealized Gain/Other Comprehensive Income</t>
  </si>
  <si>
    <t>At what amount should the investment in Brown Corporation debt be valued at the end of 20X2?</t>
  </si>
  <si>
    <t>6/30/X2</t>
  </si>
  <si>
    <t>12/31/X2</t>
  </si>
  <si>
    <t>At what amount should the Machine Corporation stock be valued on the balance sheet for the end of 20X2?</t>
  </si>
  <si>
    <t>At what amount should the investment in Machine Corporation stock be valued on the balance sheet for the end of 20X2?</t>
  </si>
  <si>
    <t>Enter Name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</si>
</sst>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12">
    <font>
      <sz val="11"/>
      <color theme="1"/>
      <name val="Calibri"/>
      <family val="2"/>
      <scheme val="minor"/>
    </font>
    <font>
      <sz val="11"/>
      <color indexed="8"/>
      <name val="Calibri"/>
      <family val="2"/>
    </font>
    <font>
      <sz val="10"/>
      <name val="Arial"/>
      <family val="2"/>
    </font>
    <font>
      <sz val="10"/>
      <name val="Myriad Web Pro"/>
    </font>
    <font>
      <b/>
      <sz val="12"/>
      <name val="Myriad Web Pro"/>
    </font>
    <font>
      <b/>
      <sz val="10"/>
      <name val="Myriad Web Pro"/>
    </font>
    <font>
      <b/>
      <sz val="10"/>
      <color indexed="9"/>
      <name val="Myriad Web Pro"/>
    </font>
    <font>
      <u val="singleAccounting"/>
      <sz val="10"/>
      <name val="Myriad Web Pro"/>
    </font>
    <font>
      <u val="doubleAccounting"/>
      <sz val="10"/>
      <name val="Myriad Web Pro"/>
    </font>
    <font>
      <i/>
      <sz val="10"/>
      <name val="Myriad Web Pro"/>
    </font>
    <font>
      <sz val="11"/>
      <color theme="1"/>
      <name val="Calibri"/>
      <family val="2"/>
      <scheme val="minor"/>
    </font>
    <font>
      <b/>
      <sz val="11"/>
      <color theme="1"/>
      <name val="Calibri"/>
      <family val="2"/>
      <scheme val="minor"/>
    </font>
  </fonts>
  <fills count="11">
    <fill>
      <patternFill patternType="none"/>
    </fill>
    <fill>
      <patternFill patternType="gray125"/>
    </fill>
    <fill>
      <patternFill patternType="solid">
        <fgColor indexed="21"/>
        <bgColor indexed="64"/>
      </patternFill>
    </fill>
    <fill>
      <patternFill patternType="solid">
        <fgColor indexed="14"/>
        <bgColor indexed="64"/>
      </patternFill>
    </fill>
    <fill>
      <patternFill patternType="solid">
        <fgColor indexed="46"/>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rgb="FF00B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s>
  <cellStyleXfs count="7">
    <xf numFmtId="0" fontId="0" fillId="0" borderId="0"/>
    <xf numFmtId="0" fontId="3" fillId="2" borderId="0"/>
    <xf numFmtId="0" fontId="6" fillId="2" borderId="0">
      <alignment horizontal="center" vertical="center"/>
    </xf>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3" fillId="3" borderId="0" applyFill="0">
      <alignment horizontal="justify" vertical="top" wrapText="1"/>
    </xf>
  </cellStyleXfs>
  <cellXfs count="127">
    <xf numFmtId="0" fontId="0" fillId="0" borderId="0" xfId="0"/>
    <xf numFmtId="0" fontId="4" fillId="5" borderId="1" xfId="0" applyFont="1" applyFill="1" applyBorder="1" applyAlignment="1" applyProtection="1">
      <alignment horizontal="center" vertical="center" wrapText="1"/>
      <protection hidden="1"/>
    </xf>
    <xf numFmtId="0" fontId="0" fillId="7" borderId="0" xfId="0" applyFill="1"/>
    <xf numFmtId="0" fontId="0" fillId="7" borderId="0" xfId="0" applyFill="1" applyAlignment="1">
      <alignment horizontal="left" vertical="center"/>
    </xf>
    <xf numFmtId="0" fontId="0" fillId="7" borderId="0" xfId="0" applyFill="1" applyAlignment="1" applyProtection="1">
      <alignment horizontal="left" vertical="center"/>
    </xf>
    <xf numFmtId="0" fontId="2" fillId="7" borderId="0" xfId="0" applyFont="1" applyFill="1" applyAlignment="1" applyProtection="1">
      <alignment horizontal="center" vertical="center"/>
      <protection locked="0"/>
    </xf>
    <xf numFmtId="0" fontId="0" fillId="7" borderId="0" xfId="0" applyFill="1" applyAlignment="1" applyProtection="1">
      <alignment horizontal="center" vertical="center"/>
      <protection locked="0"/>
    </xf>
    <xf numFmtId="14" fontId="0" fillId="7" borderId="0" xfId="0" applyNumberFormat="1" applyFill="1" applyAlignment="1" applyProtection="1">
      <alignment horizontal="center" vertical="center"/>
      <protection locked="0"/>
    </xf>
    <xf numFmtId="0" fontId="2" fillId="7" borderId="0" xfId="0" applyFont="1" applyFill="1"/>
    <xf numFmtId="1" fontId="2" fillId="7" borderId="1" xfId="0" applyNumberFormat="1" applyFont="1" applyFill="1" applyBorder="1"/>
    <xf numFmtId="1" fontId="2" fillId="7" borderId="0" xfId="0" applyNumberFormat="1" applyFont="1" applyFill="1" applyBorder="1"/>
    <xf numFmtId="0" fontId="2" fillId="7" borderId="0" xfId="0" applyFont="1" applyFill="1" applyProtection="1"/>
    <xf numFmtId="0" fontId="0" fillId="7" borderId="0" xfId="0" applyFill="1" applyProtection="1"/>
    <xf numFmtId="0" fontId="0" fillId="0" borderId="0" xfId="0" applyProtection="1"/>
    <xf numFmtId="1" fontId="2" fillId="0" borderId="1" xfId="0" applyNumberFormat="1" applyFont="1" applyBorder="1" applyProtection="1"/>
    <xf numFmtId="0" fontId="3" fillId="7" borderId="0" xfId="0" applyFont="1" applyFill="1" applyProtection="1"/>
    <xf numFmtId="0" fontId="3" fillId="0" borderId="0" xfId="0" applyFont="1" applyProtection="1"/>
    <xf numFmtId="0" fontId="6" fillId="2" borderId="0" xfId="2" applyFont="1" applyBorder="1" applyProtection="1">
      <alignment horizontal="center" vertical="center"/>
    </xf>
    <xf numFmtId="1" fontId="2" fillId="0" borderId="0" xfId="0" applyNumberFormat="1" applyFont="1" applyBorder="1" applyProtection="1"/>
    <xf numFmtId="164" fontId="10" fillId="0" borderId="0" xfId="3" applyNumberFormat="1" applyFont="1" applyProtection="1"/>
    <xf numFmtId="0" fontId="3" fillId="4" borderId="0" xfId="0" applyFont="1" applyFill="1" applyBorder="1" applyAlignment="1" applyProtection="1">
      <alignment vertical="center"/>
    </xf>
    <xf numFmtId="41" fontId="5" fillId="4" borderId="0" xfId="0" applyNumberFormat="1" applyFont="1" applyFill="1" applyBorder="1" applyAlignment="1" applyProtection="1">
      <alignment horizontal="left" vertical="center"/>
    </xf>
    <xf numFmtId="0" fontId="5" fillId="4" borderId="0" xfId="0" applyFont="1" applyFill="1" applyBorder="1" applyAlignment="1" applyProtection="1">
      <alignment vertical="center" wrapText="1"/>
    </xf>
    <xf numFmtId="42" fontId="3" fillId="4" borderId="0" xfId="0" applyNumberFormat="1" applyFont="1" applyFill="1" applyBorder="1" applyAlignment="1" applyProtection="1">
      <alignment vertical="center"/>
    </xf>
    <xf numFmtId="0" fontId="3" fillId="4" borderId="0" xfId="0" applyFont="1" applyFill="1" applyBorder="1" applyAlignment="1" applyProtection="1">
      <alignment vertical="center" wrapText="1"/>
    </xf>
    <xf numFmtId="41" fontId="5" fillId="4" borderId="0" xfId="0" applyNumberFormat="1" applyFont="1" applyFill="1" applyBorder="1" applyAlignment="1" applyProtection="1">
      <alignment horizontal="left" vertical="center" indent="1"/>
    </xf>
    <xf numFmtId="1" fontId="2" fillId="6" borderId="1" xfId="0" applyNumberFormat="1" applyFont="1" applyFill="1" applyBorder="1" applyProtection="1"/>
    <xf numFmtId="41" fontId="3" fillId="4" borderId="0" xfId="0" applyNumberFormat="1" applyFont="1" applyFill="1" applyBorder="1" applyAlignment="1" applyProtection="1">
      <alignment horizontal="left" vertical="center" indent="2"/>
    </xf>
    <xf numFmtId="41" fontId="3" fillId="4" borderId="0" xfId="0" applyNumberFormat="1" applyFont="1" applyFill="1" applyBorder="1" applyAlignment="1" applyProtection="1">
      <alignment horizontal="left" vertical="center"/>
    </xf>
    <xf numFmtId="41" fontId="7" fillId="4" borderId="0" xfId="0" applyNumberFormat="1" applyFont="1" applyFill="1" applyBorder="1" applyAlignment="1" applyProtection="1">
      <alignment vertical="center"/>
    </xf>
    <xf numFmtId="41" fontId="3" fillId="4" borderId="0" xfId="0" applyNumberFormat="1" applyFont="1" applyFill="1" applyBorder="1" applyAlignment="1" applyProtection="1">
      <alignment vertical="center"/>
    </xf>
    <xf numFmtId="164" fontId="0" fillId="0" borderId="0" xfId="0" applyNumberFormat="1" applyProtection="1"/>
    <xf numFmtId="9" fontId="10" fillId="0" borderId="0" xfId="5" applyFont="1" applyProtection="1"/>
    <xf numFmtId="0" fontId="3" fillId="4" borderId="0" xfId="0" applyFont="1" applyFill="1" applyBorder="1" applyAlignment="1" applyProtection="1">
      <alignment horizontal="left" vertical="center" wrapText="1"/>
    </xf>
    <xf numFmtId="42" fontId="8" fillId="4" borderId="0" xfId="0" applyNumberFormat="1" applyFont="1" applyFill="1" applyBorder="1" applyAlignment="1" applyProtection="1">
      <alignment vertical="center"/>
    </xf>
    <xf numFmtId="42" fontId="3" fillId="4" borderId="0" xfId="0" applyNumberFormat="1" applyFont="1" applyFill="1" applyBorder="1" applyAlignment="1" applyProtection="1">
      <alignment horizontal="right" vertical="center" wrapText="1"/>
    </xf>
    <xf numFmtId="41" fontId="0" fillId="0" borderId="0" xfId="0" applyNumberFormat="1" applyProtection="1"/>
    <xf numFmtId="0" fontId="3" fillId="4" borderId="0" xfId="0" applyFont="1" applyFill="1" applyBorder="1" applyAlignment="1" applyProtection="1">
      <alignment horizontal="center" vertical="center" wrapText="1"/>
    </xf>
    <xf numFmtId="41" fontId="3" fillId="4" borderId="0" xfId="0" applyNumberFormat="1" applyFont="1" applyFill="1" applyBorder="1" applyAlignment="1" applyProtection="1">
      <alignment horizontal="center" vertical="center" wrapText="1"/>
    </xf>
    <xf numFmtId="41" fontId="3" fillId="4" borderId="0" xfId="0" applyNumberFormat="1" applyFont="1" applyFill="1" applyBorder="1" applyAlignment="1" applyProtection="1">
      <alignment horizontal="right" vertical="center" wrapText="1"/>
    </xf>
    <xf numFmtId="0" fontId="3" fillId="2" borderId="0" xfId="1" applyFont="1" applyBorder="1" applyProtection="1"/>
    <xf numFmtId="0" fontId="3" fillId="7" borderId="0" xfId="1" applyFont="1" applyFill="1" applyBorder="1" applyProtection="1"/>
    <xf numFmtId="0" fontId="3" fillId="7" borderId="0" xfId="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0" fillId="0" borderId="0" xfId="0" applyFill="1" applyProtection="1"/>
    <xf numFmtId="0" fontId="0" fillId="0" borderId="0" xfId="0" applyFont="1" applyFill="1" applyAlignment="1" applyProtection="1">
      <alignment horizontal="center"/>
    </xf>
    <xf numFmtId="0" fontId="3" fillId="0" borderId="0" xfId="1" applyFont="1" applyFill="1" applyBorder="1" applyProtection="1"/>
    <xf numFmtId="0" fontId="5" fillId="0" borderId="0" xfId="1" applyFont="1" applyFill="1" applyBorder="1" applyProtection="1"/>
    <xf numFmtId="164" fontId="3" fillId="0" borderId="0" xfId="3" applyNumberFormat="1" applyFont="1" applyFill="1" applyBorder="1" applyProtection="1"/>
    <xf numFmtId="0" fontId="5" fillId="0" borderId="0" xfId="1" applyFont="1" applyFill="1" applyBorder="1" applyAlignment="1" applyProtection="1">
      <alignment horizontal="left" indent="3"/>
    </xf>
    <xf numFmtId="164" fontId="3" fillId="0" borderId="0" xfId="1" applyNumberFormat="1" applyFont="1" applyFill="1" applyBorder="1" applyProtection="1"/>
    <xf numFmtId="0" fontId="9" fillId="7" borderId="0" xfId="1" applyFont="1" applyFill="1" applyBorder="1" applyAlignment="1" applyProtection="1">
      <alignment vertical="center" wrapText="1"/>
    </xf>
    <xf numFmtId="0" fontId="9" fillId="0" borderId="0" xfId="1" applyFont="1" applyFill="1" applyBorder="1" applyAlignment="1" applyProtection="1">
      <alignment vertical="center" wrapText="1"/>
    </xf>
    <xf numFmtId="0" fontId="5" fillId="0" borderId="0" xfId="1" applyFont="1" applyFill="1" applyBorder="1" applyAlignment="1" applyProtection="1">
      <alignment horizontal="left"/>
    </xf>
    <xf numFmtId="0" fontId="9" fillId="7" borderId="0"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0" fontId="0" fillId="0" borderId="0" xfId="0" applyFont="1" applyFill="1" applyAlignment="1" applyProtection="1">
      <alignment horizontal="left"/>
    </xf>
    <xf numFmtId="0" fontId="3" fillId="7" borderId="0" xfId="1" applyFont="1" applyFill="1" applyBorder="1" applyAlignment="1" applyProtection="1"/>
    <xf numFmtId="0" fontId="3" fillId="0" borderId="0" xfId="1" applyFont="1" applyFill="1" applyBorder="1" applyAlignment="1" applyProtection="1"/>
    <xf numFmtId="165" fontId="3" fillId="0" borderId="2" xfId="4" applyNumberFormat="1" applyFont="1" applyFill="1" applyBorder="1" applyAlignment="1" applyProtection="1"/>
    <xf numFmtId="42" fontId="3" fillId="0" borderId="2" xfId="1" applyNumberFormat="1" applyFont="1" applyFill="1" applyBorder="1" applyAlignment="1" applyProtection="1"/>
    <xf numFmtId="0" fontId="3" fillId="7" borderId="0" xfId="0" applyFont="1" applyFill="1" applyBorder="1" applyAlignment="1" applyProtection="1">
      <alignment vertical="center"/>
    </xf>
    <xf numFmtId="41" fontId="3" fillId="7" borderId="0" xfId="0" applyNumberFormat="1" applyFont="1" applyFill="1" applyBorder="1" applyAlignment="1" applyProtection="1">
      <alignment horizontal="right" vertical="center" wrapText="1"/>
    </xf>
    <xf numFmtId="164" fontId="7" fillId="4" borderId="0" xfId="0" applyNumberFormat="1" applyFont="1" applyFill="1" applyBorder="1" applyAlignment="1" applyProtection="1">
      <alignment vertical="center"/>
    </xf>
    <xf numFmtId="41" fontId="3" fillId="4" borderId="0" xfId="0" applyNumberFormat="1" applyFont="1" applyFill="1" applyBorder="1" applyAlignment="1" applyProtection="1">
      <alignment horizontal="left" vertical="center" indent="3"/>
    </xf>
    <xf numFmtId="42" fontId="0" fillId="0" borderId="0" xfId="0" applyNumberFormat="1" applyProtection="1"/>
    <xf numFmtId="0" fontId="3" fillId="2" borderId="0" xfId="1" applyFont="1" applyProtection="1"/>
    <xf numFmtId="41" fontId="3" fillId="4" borderId="0" xfId="0" applyNumberFormat="1" applyFont="1" applyFill="1" applyBorder="1" applyAlignment="1" applyProtection="1">
      <alignment horizontal="left" vertical="center" indent="1"/>
    </xf>
    <xf numFmtId="0" fontId="6" fillId="8" borderId="0" xfId="2" applyFont="1" applyFill="1" applyBorder="1" applyProtection="1">
      <alignment horizontal="center" vertical="center"/>
    </xf>
    <xf numFmtId="0" fontId="3" fillId="8" borderId="0" xfId="1" applyFont="1" applyFill="1" applyBorder="1" applyProtection="1"/>
    <xf numFmtId="0" fontId="3" fillId="8" borderId="0" xfId="1" applyFont="1" applyFill="1" applyProtection="1"/>
    <xf numFmtId="0" fontId="3" fillId="9" borderId="0" xfId="0" applyFont="1" applyFill="1" applyBorder="1" applyAlignment="1" applyProtection="1">
      <alignment vertical="center"/>
    </xf>
    <xf numFmtId="41" fontId="5" fillId="9" borderId="0" xfId="0" applyNumberFormat="1" applyFont="1" applyFill="1" applyBorder="1" applyAlignment="1" applyProtection="1">
      <alignment horizontal="left" vertical="center"/>
    </xf>
    <xf numFmtId="0" fontId="5" fillId="9" borderId="0" xfId="0" applyFont="1" applyFill="1" applyBorder="1" applyAlignment="1" applyProtection="1">
      <alignment vertical="center" wrapText="1"/>
    </xf>
    <xf numFmtId="42" fontId="3" fillId="9" borderId="0" xfId="0" applyNumberFormat="1" applyFont="1" applyFill="1" applyBorder="1" applyAlignment="1" applyProtection="1">
      <alignment vertical="center"/>
    </xf>
    <xf numFmtId="0" fontId="3" fillId="9" borderId="0" xfId="0" applyFont="1" applyFill="1" applyBorder="1" applyAlignment="1" applyProtection="1">
      <alignment vertical="center" wrapText="1"/>
    </xf>
    <xf numFmtId="41" fontId="5" fillId="9" borderId="0" xfId="0" applyNumberFormat="1" applyFont="1" applyFill="1" applyBorder="1" applyAlignment="1" applyProtection="1">
      <alignment horizontal="left" vertical="center" indent="1"/>
    </xf>
    <xf numFmtId="41" fontId="3" fillId="9" borderId="0" xfId="0" applyNumberFormat="1" applyFont="1" applyFill="1" applyBorder="1" applyAlignment="1" applyProtection="1">
      <alignment horizontal="left" vertical="center" indent="2"/>
    </xf>
    <xf numFmtId="41" fontId="3" fillId="9" borderId="0" xfId="0" applyNumberFormat="1" applyFont="1" applyFill="1" applyBorder="1" applyAlignment="1" applyProtection="1">
      <alignment horizontal="left" vertical="center"/>
    </xf>
    <xf numFmtId="41" fontId="7" fillId="9" borderId="0" xfId="0" applyNumberFormat="1" applyFont="1" applyFill="1" applyBorder="1" applyAlignment="1" applyProtection="1">
      <alignment vertical="center"/>
    </xf>
    <xf numFmtId="165" fontId="3" fillId="9" borderId="0" xfId="4" applyNumberFormat="1" applyFont="1" applyFill="1" applyBorder="1" applyAlignment="1" applyProtection="1">
      <alignment vertical="center"/>
    </xf>
    <xf numFmtId="41" fontId="3" fillId="9" borderId="0" xfId="0" applyNumberFormat="1" applyFont="1" applyFill="1" applyBorder="1" applyAlignment="1" applyProtection="1">
      <alignment vertical="center"/>
    </xf>
    <xf numFmtId="0" fontId="3" fillId="9" borderId="0" xfId="0" applyFont="1" applyFill="1" applyBorder="1" applyAlignment="1" applyProtection="1">
      <alignment horizontal="left" vertical="center" wrapText="1"/>
    </xf>
    <xf numFmtId="42" fontId="8" fillId="9" borderId="0" xfId="0" applyNumberFormat="1" applyFont="1" applyFill="1" applyBorder="1" applyAlignment="1" applyProtection="1">
      <alignment vertical="center"/>
    </xf>
    <xf numFmtId="42" fontId="3" fillId="9" borderId="0" xfId="0" applyNumberFormat="1" applyFont="1" applyFill="1" applyBorder="1" applyAlignment="1" applyProtection="1">
      <alignment horizontal="right" vertical="center" wrapText="1"/>
    </xf>
    <xf numFmtId="0" fontId="3" fillId="9" borderId="0" xfId="0" applyFont="1" applyFill="1" applyBorder="1" applyAlignment="1" applyProtection="1">
      <alignment horizontal="center" vertical="center" wrapText="1"/>
    </xf>
    <xf numFmtId="41" fontId="3" fillId="9" borderId="0" xfId="0" applyNumberFormat="1" applyFont="1" applyFill="1" applyBorder="1" applyAlignment="1" applyProtection="1">
      <alignment horizontal="center" vertical="center" wrapText="1"/>
    </xf>
    <xf numFmtId="41" fontId="3" fillId="9" borderId="0" xfId="0" applyNumberFormat="1" applyFont="1" applyFill="1" applyBorder="1" applyAlignment="1" applyProtection="1">
      <alignment horizontal="right" vertical="center" wrapText="1"/>
    </xf>
    <xf numFmtId="164" fontId="7" fillId="9" borderId="0" xfId="3" applyNumberFormat="1" applyFont="1" applyFill="1" applyBorder="1" applyAlignment="1" applyProtection="1">
      <alignment vertical="center"/>
    </xf>
    <xf numFmtId="164" fontId="3" fillId="9" borderId="0" xfId="3" applyNumberFormat="1" applyFont="1" applyFill="1" applyBorder="1" applyAlignment="1" applyProtection="1">
      <alignment vertical="center"/>
    </xf>
    <xf numFmtId="41" fontId="3" fillId="9" borderId="0" xfId="0" applyNumberFormat="1" applyFont="1" applyFill="1" applyBorder="1" applyAlignment="1" applyProtection="1">
      <alignment horizontal="left" vertical="center" indent="3"/>
    </xf>
    <xf numFmtId="165" fontId="7" fillId="9" borderId="0" xfId="4" applyNumberFormat="1" applyFont="1" applyFill="1" applyBorder="1" applyAlignment="1" applyProtection="1">
      <alignment vertical="center"/>
    </xf>
    <xf numFmtId="41" fontId="3" fillId="9" borderId="0" xfId="0" applyNumberFormat="1" applyFont="1" applyFill="1" applyBorder="1" applyAlignment="1" applyProtection="1">
      <alignment horizontal="left" vertical="center" indent="1"/>
    </xf>
    <xf numFmtId="41" fontId="7" fillId="4" borderId="0" xfId="4" applyNumberFormat="1" applyFont="1" applyFill="1" applyBorder="1" applyAlignment="1" applyProtection="1">
      <alignment vertical="center"/>
    </xf>
    <xf numFmtId="41" fontId="7" fillId="9" borderId="0" xfId="4" applyNumberFormat="1" applyFont="1" applyFill="1" applyBorder="1" applyAlignment="1" applyProtection="1">
      <alignment vertical="center"/>
    </xf>
    <xf numFmtId="165" fontId="3" fillId="10" borderId="3" xfId="4" applyNumberFormat="1" applyFont="1" applyFill="1" applyBorder="1" applyAlignment="1" applyProtection="1">
      <alignment vertical="center"/>
      <protection locked="0"/>
    </xf>
    <xf numFmtId="165" fontId="7" fillId="10" borderId="4" xfId="4" applyNumberFormat="1" applyFont="1" applyFill="1" applyBorder="1" applyAlignment="1" applyProtection="1">
      <alignment vertical="center"/>
      <protection locked="0"/>
    </xf>
    <xf numFmtId="165" fontId="3" fillId="10" borderId="2" xfId="4" applyNumberFormat="1" applyFont="1" applyFill="1" applyBorder="1" applyAlignment="1" applyProtection="1">
      <alignment vertical="center"/>
      <protection locked="0"/>
    </xf>
    <xf numFmtId="41" fontId="7" fillId="10" borderId="2" xfId="0" applyNumberFormat="1" applyFont="1" applyFill="1" applyBorder="1" applyAlignment="1" applyProtection="1">
      <alignment vertical="center"/>
      <protection locked="0"/>
    </xf>
    <xf numFmtId="0" fontId="3" fillId="10" borderId="0" xfId="1" applyFont="1" applyFill="1" applyBorder="1" applyAlignment="1" applyProtection="1">
      <alignment vertical="center"/>
      <protection locked="0"/>
    </xf>
    <xf numFmtId="0" fontId="3" fillId="10" borderId="0" xfId="1" applyFont="1" applyFill="1" applyBorder="1" applyAlignment="1" applyProtection="1">
      <alignment horizontal="left" vertical="center" indent="3"/>
      <protection locked="0"/>
    </xf>
    <xf numFmtId="164" fontId="3" fillId="10" borderId="0" xfId="3" applyNumberFormat="1" applyFont="1" applyFill="1" applyBorder="1" applyAlignment="1" applyProtection="1">
      <alignment vertical="center"/>
      <protection locked="0"/>
    </xf>
    <xf numFmtId="0" fontId="3" fillId="7" borderId="0" xfId="1" applyFont="1" applyFill="1" applyBorder="1" applyAlignment="1" applyProtection="1">
      <alignment vertical="center"/>
    </xf>
    <xf numFmtId="164" fontId="0" fillId="7" borderId="0" xfId="0" applyNumberFormat="1" applyFill="1" applyProtection="1"/>
    <xf numFmtId="42" fontId="3" fillId="10" borderId="2" xfId="1" applyNumberFormat="1" applyFont="1" applyFill="1" applyBorder="1" applyAlignment="1" applyProtection="1">
      <alignment vertical="center"/>
      <protection locked="0"/>
    </xf>
    <xf numFmtId="0" fontId="0" fillId="7" borderId="0" xfId="0" applyFont="1" applyFill="1" applyAlignment="1" applyProtection="1">
      <alignment horizontal="left" vertical="center"/>
    </xf>
    <xf numFmtId="0" fontId="0" fillId="7" borderId="0" xfId="0" applyFont="1" applyFill="1" applyAlignment="1" applyProtection="1">
      <alignment horizontal="center" vertical="center"/>
    </xf>
    <xf numFmtId="164" fontId="3" fillId="10" borderId="0" xfId="1" applyNumberFormat="1" applyFont="1" applyFill="1" applyBorder="1" applyAlignment="1" applyProtection="1">
      <alignment vertical="center"/>
      <protection locked="0"/>
    </xf>
    <xf numFmtId="0" fontId="0" fillId="7" borderId="0" xfId="0" applyFill="1" applyAlignment="1" applyProtection="1">
      <alignment horizontal="left" vertical="center"/>
    </xf>
    <xf numFmtId="0" fontId="11" fillId="7" borderId="0" xfId="0" applyFont="1" applyFill="1" applyAlignment="1" applyProtection="1">
      <alignment horizontal="center" vertical="center" wrapText="1"/>
    </xf>
    <xf numFmtId="0" fontId="0" fillId="7" borderId="0" xfId="0" applyFill="1" applyAlignment="1" applyProtection="1">
      <alignment horizontal="center" wrapText="1"/>
    </xf>
    <xf numFmtId="0" fontId="6" fillId="8" borderId="0" xfId="2" applyFont="1" applyFill="1" applyBorder="1" applyProtection="1">
      <alignment horizontal="center" vertical="center"/>
    </xf>
    <xf numFmtId="0" fontId="5" fillId="7" borderId="0" xfId="1" applyFont="1" applyFill="1" applyBorder="1" applyAlignment="1" applyProtection="1">
      <alignment horizontal="center" vertical="center" wrapText="1"/>
    </xf>
    <xf numFmtId="0" fontId="0" fillId="0" borderId="0" xfId="0" applyAlignment="1" applyProtection="1">
      <alignment horizontal="center"/>
    </xf>
    <xf numFmtId="0" fontId="0" fillId="0" borderId="8" xfId="0" applyBorder="1" applyAlignment="1" applyProtection="1">
      <alignment horizontal="center"/>
    </xf>
    <xf numFmtId="0" fontId="9" fillId="0" borderId="5" xfId="1" applyFont="1" applyFill="1" applyBorder="1" applyAlignment="1" applyProtection="1">
      <alignment horizontal="center" vertical="center" wrapText="1"/>
    </xf>
    <xf numFmtId="0" fontId="9" fillId="0" borderId="6" xfId="1" applyFont="1" applyFill="1" applyBorder="1" applyAlignment="1" applyProtection="1">
      <alignment horizontal="center" vertical="center" wrapText="1"/>
    </xf>
    <xf numFmtId="0" fontId="9" fillId="0" borderId="7" xfId="1" applyFont="1" applyFill="1" applyBorder="1" applyAlignment="1" applyProtection="1">
      <alignment horizontal="center" vertical="center" wrapText="1"/>
    </xf>
    <xf numFmtId="0" fontId="9" fillId="7" borderId="5" xfId="1" applyFont="1" applyFill="1" applyBorder="1" applyAlignment="1" applyProtection="1">
      <alignment horizontal="center" vertical="center" wrapText="1"/>
    </xf>
    <xf numFmtId="0" fontId="9" fillId="7" borderId="6" xfId="1" applyFont="1" applyFill="1" applyBorder="1" applyAlignment="1" applyProtection="1">
      <alignment horizontal="center" vertical="center" wrapText="1"/>
    </xf>
    <xf numFmtId="0" fontId="9" fillId="7" borderId="7" xfId="1" applyFont="1" applyFill="1" applyBorder="1" applyAlignment="1" applyProtection="1">
      <alignment horizontal="center" vertical="center" wrapText="1"/>
    </xf>
    <xf numFmtId="0" fontId="3" fillId="7" borderId="0" xfId="1" applyFont="1" applyFill="1" applyBorder="1" applyAlignment="1" applyProtection="1">
      <alignment horizontal="center" wrapText="1"/>
    </xf>
    <xf numFmtId="0" fontId="5" fillId="0" borderId="0" xfId="1" applyFont="1" applyFill="1" applyBorder="1" applyAlignment="1" applyProtection="1">
      <alignment horizontal="center" vertical="center" wrapText="1"/>
    </xf>
    <xf numFmtId="0" fontId="0" fillId="0" borderId="0" xfId="0" applyAlignment="1" applyProtection="1">
      <alignment horizontal="center" wrapText="1"/>
    </xf>
    <xf numFmtId="0" fontId="6" fillId="2" borderId="0" xfId="2" applyFont="1" applyBorder="1" applyProtection="1">
      <alignment horizontal="center" vertical="center"/>
    </xf>
    <xf numFmtId="0" fontId="3" fillId="0" borderId="0" xfId="1" applyFont="1" applyFill="1" applyBorder="1" applyAlignment="1" applyProtection="1">
      <alignment horizontal="center" vertical="center" wrapText="1"/>
    </xf>
    <xf numFmtId="0" fontId="3" fillId="7" borderId="0" xfId="1" applyFont="1" applyFill="1" applyBorder="1" applyAlignment="1" applyProtection="1">
      <alignment horizontal="center" vertical="center" wrapText="1"/>
    </xf>
  </cellXfs>
  <cellStyles count="7">
    <cellStyle name="bsfoot" xfId="1" xr:uid="{00000000-0005-0000-0000-000000000000}"/>
    <cellStyle name="bshead" xfId="2" xr:uid="{00000000-0005-0000-0000-000001000000}"/>
    <cellStyle name="Comma" xfId="3" builtinId="3"/>
    <cellStyle name="Currency" xfId="4" builtinId="4"/>
    <cellStyle name="Normal" xfId="0" builtinId="0"/>
    <cellStyle name="Percent" xfId="5" builtinId="5"/>
    <cellStyle name="POA" xfId="6" xr:uid="{00000000-0005-0000-0000-000006000000}"/>
  </cellStyles>
  <dxfs count="29">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137</xdr:row>
      <xdr:rowOff>0</xdr:rowOff>
    </xdr:from>
    <xdr:to>
      <xdr:col>6</xdr:col>
      <xdr:colOff>76200</xdr:colOff>
      <xdr:row>1048576</xdr:row>
      <xdr:rowOff>28575</xdr:rowOff>
    </xdr:to>
    <xdr:sp macro="" textlink="">
      <xdr:nvSpPr>
        <xdr:cNvPr id="4521" name="Text Box 9">
          <a:extLst>
            <a:ext uri="{FF2B5EF4-FFF2-40B4-BE49-F238E27FC236}">
              <a16:creationId xmlns:a16="http://schemas.microsoft.com/office/drawing/2014/main" id="{00000000-0008-0000-0100-0000A9110000}"/>
            </a:ext>
          </a:extLst>
        </xdr:cNvPr>
        <xdr:cNvSpPr txBox="1">
          <a:spLocks noChangeArrowheads="1"/>
        </xdr:cNvSpPr>
      </xdr:nvSpPr>
      <xdr:spPr bwMode="auto">
        <a:xfrm>
          <a:off x="5886450" y="35099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137</xdr:row>
      <xdr:rowOff>0</xdr:rowOff>
    </xdr:from>
    <xdr:to>
      <xdr:col>6</xdr:col>
      <xdr:colOff>76200</xdr:colOff>
      <xdr:row>1048576</xdr:row>
      <xdr:rowOff>28575</xdr:rowOff>
    </xdr:to>
    <xdr:sp macro="" textlink="">
      <xdr:nvSpPr>
        <xdr:cNvPr id="4522" name="Text Box 10">
          <a:extLst>
            <a:ext uri="{FF2B5EF4-FFF2-40B4-BE49-F238E27FC236}">
              <a16:creationId xmlns:a16="http://schemas.microsoft.com/office/drawing/2014/main" id="{00000000-0008-0000-0100-0000AA110000}"/>
            </a:ext>
          </a:extLst>
        </xdr:cNvPr>
        <xdr:cNvSpPr txBox="1">
          <a:spLocks noChangeArrowheads="1"/>
        </xdr:cNvSpPr>
      </xdr:nvSpPr>
      <xdr:spPr bwMode="auto">
        <a:xfrm>
          <a:off x="5886450" y="35099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137</xdr:row>
      <xdr:rowOff>0</xdr:rowOff>
    </xdr:from>
    <xdr:to>
      <xdr:col>6</xdr:col>
      <xdr:colOff>76200</xdr:colOff>
      <xdr:row>1048576</xdr:row>
      <xdr:rowOff>28575</xdr:rowOff>
    </xdr:to>
    <xdr:sp macro="" textlink="">
      <xdr:nvSpPr>
        <xdr:cNvPr id="4523" name="Text Box 11">
          <a:extLst>
            <a:ext uri="{FF2B5EF4-FFF2-40B4-BE49-F238E27FC236}">
              <a16:creationId xmlns:a16="http://schemas.microsoft.com/office/drawing/2014/main" id="{00000000-0008-0000-0100-0000AB110000}"/>
            </a:ext>
          </a:extLst>
        </xdr:cNvPr>
        <xdr:cNvSpPr txBox="1">
          <a:spLocks noChangeArrowheads="1"/>
        </xdr:cNvSpPr>
      </xdr:nvSpPr>
      <xdr:spPr bwMode="auto">
        <a:xfrm>
          <a:off x="5886450" y="35099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137</xdr:row>
      <xdr:rowOff>0</xdr:rowOff>
    </xdr:from>
    <xdr:to>
      <xdr:col>6</xdr:col>
      <xdr:colOff>76200</xdr:colOff>
      <xdr:row>1048576</xdr:row>
      <xdr:rowOff>28575</xdr:rowOff>
    </xdr:to>
    <xdr:sp macro="" textlink="">
      <xdr:nvSpPr>
        <xdr:cNvPr id="4524" name="Text Box 12">
          <a:extLst>
            <a:ext uri="{FF2B5EF4-FFF2-40B4-BE49-F238E27FC236}">
              <a16:creationId xmlns:a16="http://schemas.microsoft.com/office/drawing/2014/main" id="{00000000-0008-0000-0100-0000AC110000}"/>
            </a:ext>
          </a:extLst>
        </xdr:cNvPr>
        <xdr:cNvSpPr txBox="1">
          <a:spLocks noChangeArrowheads="1"/>
        </xdr:cNvSpPr>
      </xdr:nvSpPr>
      <xdr:spPr bwMode="auto">
        <a:xfrm>
          <a:off x="5886450" y="35099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137</xdr:row>
      <xdr:rowOff>0</xdr:rowOff>
    </xdr:from>
    <xdr:to>
      <xdr:col>16384</xdr:col>
      <xdr:colOff>76200</xdr:colOff>
      <xdr:row>1048576</xdr:row>
      <xdr:rowOff>28575</xdr:rowOff>
    </xdr:to>
    <xdr:sp macro="" textlink="">
      <xdr:nvSpPr>
        <xdr:cNvPr id="4525" name="Text Box 9">
          <a:extLst>
            <a:ext uri="{FF2B5EF4-FFF2-40B4-BE49-F238E27FC236}">
              <a16:creationId xmlns:a16="http://schemas.microsoft.com/office/drawing/2014/main" id="{00000000-0008-0000-0100-0000AD110000}"/>
            </a:ext>
          </a:extLst>
        </xdr:cNvPr>
        <xdr:cNvSpPr txBox="1">
          <a:spLocks noChangeArrowheads="1"/>
        </xdr:cNvSpPr>
      </xdr:nvSpPr>
      <xdr:spPr bwMode="auto">
        <a:xfrm>
          <a:off x="7524750" y="35099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137</xdr:row>
      <xdr:rowOff>0</xdr:rowOff>
    </xdr:from>
    <xdr:to>
      <xdr:col>16384</xdr:col>
      <xdr:colOff>76200</xdr:colOff>
      <xdr:row>1048576</xdr:row>
      <xdr:rowOff>28575</xdr:rowOff>
    </xdr:to>
    <xdr:sp macro="" textlink="">
      <xdr:nvSpPr>
        <xdr:cNvPr id="4526" name="Text Box 10">
          <a:extLst>
            <a:ext uri="{FF2B5EF4-FFF2-40B4-BE49-F238E27FC236}">
              <a16:creationId xmlns:a16="http://schemas.microsoft.com/office/drawing/2014/main" id="{00000000-0008-0000-0100-0000AE110000}"/>
            </a:ext>
          </a:extLst>
        </xdr:cNvPr>
        <xdr:cNvSpPr txBox="1">
          <a:spLocks noChangeArrowheads="1"/>
        </xdr:cNvSpPr>
      </xdr:nvSpPr>
      <xdr:spPr bwMode="auto">
        <a:xfrm>
          <a:off x="7524750" y="35099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137</xdr:row>
      <xdr:rowOff>0</xdr:rowOff>
    </xdr:from>
    <xdr:to>
      <xdr:col>16384</xdr:col>
      <xdr:colOff>76200</xdr:colOff>
      <xdr:row>1048576</xdr:row>
      <xdr:rowOff>28575</xdr:rowOff>
    </xdr:to>
    <xdr:sp macro="" textlink="">
      <xdr:nvSpPr>
        <xdr:cNvPr id="4527" name="Text Box 11">
          <a:extLst>
            <a:ext uri="{FF2B5EF4-FFF2-40B4-BE49-F238E27FC236}">
              <a16:creationId xmlns:a16="http://schemas.microsoft.com/office/drawing/2014/main" id="{00000000-0008-0000-0100-0000AF110000}"/>
            </a:ext>
          </a:extLst>
        </xdr:cNvPr>
        <xdr:cNvSpPr txBox="1">
          <a:spLocks noChangeArrowheads="1"/>
        </xdr:cNvSpPr>
      </xdr:nvSpPr>
      <xdr:spPr bwMode="auto">
        <a:xfrm>
          <a:off x="7524750" y="35099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137</xdr:row>
      <xdr:rowOff>0</xdr:rowOff>
    </xdr:from>
    <xdr:to>
      <xdr:col>16384</xdr:col>
      <xdr:colOff>76200</xdr:colOff>
      <xdr:row>1048576</xdr:row>
      <xdr:rowOff>28575</xdr:rowOff>
    </xdr:to>
    <xdr:sp macro="" textlink="">
      <xdr:nvSpPr>
        <xdr:cNvPr id="4528" name="Text Box 12">
          <a:extLst>
            <a:ext uri="{FF2B5EF4-FFF2-40B4-BE49-F238E27FC236}">
              <a16:creationId xmlns:a16="http://schemas.microsoft.com/office/drawing/2014/main" id="{00000000-0008-0000-0100-0000B0110000}"/>
            </a:ext>
          </a:extLst>
        </xdr:cNvPr>
        <xdr:cNvSpPr txBox="1">
          <a:spLocks noChangeArrowheads="1"/>
        </xdr:cNvSpPr>
      </xdr:nvSpPr>
      <xdr:spPr bwMode="auto">
        <a:xfrm>
          <a:off x="7524750" y="35099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81"/>
  <sheetViews>
    <sheetView tabSelected="1" zoomScale="145" zoomScaleNormal="145" workbookViewId="0"/>
  </sheetViews>
  <sheetFormatPr defaultColWidth="0" defaultRowHeight="15" zeroHeight="1"/>
  <cols>
    <col min="1" max="1" width="27.85546875" style="2" bestFit="1" customWidth="1"/>
    <col min="2" max="2" width="23.140625" style="2" customWidth="1"/>
    <col min="3" max="8" width="0" style="2" hidden="1" customWidth="1"/>
    <col min="9" max="16384" width="9.140625" style="2" hidden="1"/>
  </cols>
  <sheetData>
    <row r="1" spans="1:2">
      <c r="A1" s="4" t="s">
        <v>0</v>
      </c>
      <c r="B1" s="5" t="s">
        <v>89</v>
      </c>
    </row>
    <row r="2" spans="1:2">
      <c r="A2" s="4" t="s">
        <v>1</v>
      </c>
      <c r="B2" s="6">
        <v>11111</v>
      </c>
    </row>
    <row r="3" spans="1:2">
      <c r="A3" s="4" t="s">
        <v>2</v>
      </c>
      <c r="B3" s="7">
        <v>42966</v>
      </c>
    </row>
    <row r="4" spans="1:2">
      <c r="A4" s="4"/>
      <c r="B4" s="11" t="s">
        <v>3</v>
      </c>
    </row>
    <row r="5" spans="1:2" hidden="1"/>
    <row r="6" spans="1:2" hidden="1">
      <c r="A6" s="3" t="s">
        <v>4</v>
      </c>
    </row>
    <row r="7" spans="1:2" hidden="1"/>
    <row r="8" spans="1:2" hidden="1">
      <c r="B8" s="2">
        <f>B2/10000</f>
        <v>1.1111</v>
      </c>
    </row>
    <row r="9" spans="1:2" hidden="1">
      <c r="B9" s="2">
        <f>TRUNC(B8)</f>
        <v>1</v>
      </c>
    </row>
    <row r="10" spans="1:2" hidden="1">
      <c r="B10" s="2">
        <f>B2/1000</f>
        <v>11.111000000000001</v>
      </c>
    </row>
    <row r="11" spans="1:2" hidden="1">
      <c r="B11" s="2">
        <f>TRUNC(B10)</f>
        <v>11</v>
      </c>
    </row>
    <row r="12" spans="1:2" hidden="1">
      <c r="B12" s="2">
        <f>B11-(B9*10)</f>
        <v>1</v>
      </c>
    </row>
    <row r="13" spans="1:2" hidden="1">
      <c r="B13" s="2">
        <f>B2/100</f>
        <v>111.11</v>
      </c>
    </row>
    <row r="14" spans="1:2" hidden="1">
      <c r="B14" s="2">
        <f>TRUNC(B13)</f>
        <v>111</v>
      </c>
    </row>
    <row r="15" spans="1:2" hidden="1">
      <c r="B15" s="2">
        <f>B14-(B11*10)</f>
        <v>1</v>
      </c>
    </row>
    <row r="16" spans="1:2" hidden="1">
      <c r="B16" s="2">
        <f>B2/10</f>
        <v>1111.0999999999999</v>
      </c>
    </row>
    <row r="17" spans="1:3" hidden="1">
      <c r="B17" s="2">
        <f>TRUNC(B16)</f>
        <v>1111</v>
      </c>
    </row>
    <row r="18" spans="1:3" hidden="1">
      <c r="B18" s="2">
        <f>B17-(B14*10)</f>
        <v>1</v>
      </c>
    </row>
    <row r="19" spans="1:3" hidden="1">
      <c r="B19" s="2">
        <f>B2</f>
        <v>11111</v>
      </c>
    </row>
    <row r="20" spans="1:3" hidden="1">
      <c r="B20" s="2">
        <f>TRUNC(B19)</f>
        <v>11111</v>
      </c>
    </row>
    <row r="21" spans="1:3" hidden="1">
      <c r="B21" s="2">
        <f>B20-(B17*10)</f>
        <v>1</v>
      </c>
    </row>
    <row r="22" spans="1:3" hidden="1"/>
    <row r="23" spans="1:3" hidden="1">
      <c r="B23" s="2">
        <f>B9+B12+B15+B18+B21</f>
        <v>5</v>
      </c>
    </row>
    <row r="24" spans="1:3" hidden="1"/>
    <row r="25" spans="1:3" hidden="1"/>
    <row r="26" spans="1:3" hidden="1">
      <c r="A26" s="2">
        <v>1</v>
      </c>
      <c r="B26" s="2">
        <v>6</v>
      </c>
      <c r="C26" s="2">
        <f t="shared" ref="C26:C70" si="0">IF(A26=$B$23,B26,0)</f>
        <v>0</v>
      </c>
    </row>
    <row r="27" spans="1:3" hidden="1">
      <c r="A27" s="2">
        <v>2</v>
      </c>
      <c r="B27" s="2">
        <v>4</v>
      </c>
      <c r="C27" s="2">
        <f t="shared" si="0"/>
        <v>0</v>
      </c>
    </row>
    <row r="28" spans="1:3" hidden="1">
      <c r="A28" s="2">
        <v>3</v>
      </c>
      <c r="B28" s="2">
        <v>3</v>
      </c>
      <c r="C28" s="2">
        <f t="shared" si="0"/>
        <v>0</v>
      </c>
    </row>
    <row r="29" spans="1:3" hidden="1">
      <c r="A29" s="2">
        <v>4</v>
      </c>
      <c r="B29" s="2">
        <v>2</v>
      </c>
      <c r="C29" s="2">
        <f t="shared" si="0"/>
        <v>0</v>
      </c>
    </row>
    <row r="30" spans="1:3" hidden="1">
      <c r="A30" s="2">
        <v>5</v>
      </c>
      <c r="B30" s="2">
        <v>6</v>
      </c>
      <c r="C30" s="2">
        <f t="shared" si="0"/>
        <v>6</v>
      </c>
    </row>
    <row r="31" spans="1:3" hidden="1">
      <c r="A31" s="2">
        <v>6</v>
      </c>
      <c r="B31" s="2">
        <v>2</v>
      </c>
      <c r="C31" s="2">
        <f t="shared" si="0"/>
        <v>0</v>
      </c>
    </row>
    <row r="32" spans="1:3" hidden="1">
      <c r="A32" s="2">
        <v>7</v>
      </c>
      <c r="B32" s="2">
        <v>1</v>
      </c>
      <c r="C32" s="2">
        <f t="shared" si="0"/>
        <v>0</v>
      </c>
    </row>
    <row r="33" spans="1:3" hidden="1">
      <c r="A33" s="2">
        <v>8</v>
      </c>
      <c r="B33" s="2">
        <v>1</v>
      </c>
      <c r="C33" s="2">
        <f t="shared" si="0"/>
        <v>0</v>
      </c>
    </row>
    <row r="34" spans="1:3" hidden="1">
      <c r="A34" s="2">
        <v>9</v>
      </c>
      <c r="B34" s="2">
        <v>3</v>
      </c>
      <c r="C34" s="2">
        <f t="shared" si="0"/>
        <v>0</v>
      </c>
    </row>
    <row r="35" spans="1:3" hidden="1">
      <c r="A35" s="2">
        <v>10</v>
      </c>
      <c r="B35" s="2">
        <v>6</v>
      </c>
      <c r="C35" s="2">
        <f t="shared" si="0"/>
        <v>0</v>
      </c>
    </row>
    <row r="36" spans="1:3" hidden="1">
      <c r="A36" s="2">
        <v>11</v>
      </c>
      <c r="B36" s="2">
        <v>1</v>
      </c>
      <c r="C36" s="2">
        <f t="shared" si="0"/>
        <v>0</v>
      </c>
    </row>
    <row r="37" spans="1:3" hidden="1">
      <c r="A37" s="2">
        <v>12</v>
      </c>
      <c r="B37" s="2">
        <v>2</v>
      </c>
      <c r="C37" s="2">
        <f t="shared" si="0"/>
        <v>0</v>
      </c>
    </row>
    <row r="38" spans="1:3" hidden="1">
      <c r="A38" s="2">
        <v>13</v>
      </c>
      <c r="B38" s="2">
        <v>3</v>
      </c>
      <c r="C38" s="2">
        <f t="shared" si="0"/>
        <v>0</v>
      </c>
    </row>
    <row r="39" spans="1:3" hidden="1">
      <c r="A39" s="2">
        <v>14</v>
      </c>
      <c r="B39" s="2">
        <v>4</v>
      </c>
      <c r="C39" s="2">
        <f t="shared" si="0"/>
        <v>0</v>
      </c>
    </row>
    <row r="40" spans="1:3" hidden="1">
      <c r="A40" s="2">
        <v>15</v>
      </c>
      <c r="B40" s="2">
        <v>3</v>
      </c>
      <c r="C40" s="2">
        <f t="shared" si="0"/>
        <v>0</v>
      </c>
    </row>
    <row r="41" spans="1:3" hidden="1">
      <c r="A41" s="2">
        <v>16</v>
      </c>
      <c r="B41" s="2">
        <v>7</v>
      </c>
      <c r="C41" s="2">
        <f t="shared" si="0"/>
        <v>0</v>
      </c>
    </row>
    <row r="42" spans="1:3" hidden="1">
      <c r="A42" s="2">
        <v>17</v>
      </c>
      <c r="B42" s="2">
        <v>8</v>
      </c>
      <c r="C42" s="2">
        <f t="shared" si="0"/>
        <v>0</v>
      </c>
    </row>
    <row r="43" spans="1:3" hidden="1">
      <c r="A43" s="2">
        <v>18</v>
      </c>
      <c r="B43" s="2">
        <v>9</v>
      </c>
      <c r="C43" s="2">
        <f t="shared" si="0"/>
        <v>0</v>
      </c>
    </row>
    <row r="44" spans="1:3" hidden="1">
      <c r="A44" s="2">
        <v>19</v>
      </c>
      <c r="B44" s="2">
        <v>5</v>
      </c>
      <c r="C44" s="2">
        <f t="shared" si="0"/>
        <v>0</v>
      </c>
    </row>
    <row r="45" spans="1:3" hidden="1">
      <c r="A45" s="2">
        <v>20</v>
      </c>
      <c r="B45" s="2">
        <v>3</v>
      </c>
      <c r="C45" s="2">
        <f t="shared" si="0"/>
        <v>0</v>
      </c>
    </row>
    <row r="46" spans="1:3" hidden="1">
      <c r="A46" s="2">
        <v>21</v>
      </c>
      <c r="B46" s="2">
        <v>5</v>
      </c>
      <c r="C46" s="2">
        <f t="shared" si="0"/>
        <v>0</v>
      </c>
    </row>
    <row r="47" spans="1:3" hidden="1">
      <c r="A47" s="2">
        <v>22</v>
      </c>
      <c r="B47" s="2">
        <v>7</v>
      </c>
      <c r="C47" s="2">
        <f t="shared" si="0"/>
        <v>0</v>
      </c>
    </row>
    <row r="48" spans="1:3" hidden="1">
      <c r="A48" s="2">
        <v>23</v>
      </c>
      <c r="B48" s="2">
        <v>3</v>
      </c>
      <c r="C48" s="2">
        <f t="shared" si="0"/>
        <v>0</v>
      </c>
    </row>
    <row r="49" spans="1:3" hidden="1">
      <c r="A49" s="2">
        <v>24</v>
      </c>
      <c r="B49" s="2">
        <v>6</v>
      </c>
      <c r="C49" s="2">
        <f t="shared" si="0"/>
        <v>0</v>
      </c>
    </row>
    <row r="50" spans="1:3" hidden="1">
      <c r="A50" s="2">
        <v>25</v>
      </c>
      <c r="B50" s="2">
        <v>7</v>
      </c>
      <c r="C50" s="2">
        <f t="shared" si="0"/>
        <v>0</v>
      </c>
    </row>
    <row r="51" spans="1:3" hidden="1">
      <c r="A51" s="2">
        <v>26</v>
      </c>
      <c r="B51" s="2">
        <v>8</v>
      </c>
      <c r="C51" s="2">
        <f t="shared" si="0"/>
        <v>0</v>
      </c>
    </row>
    <row r="52" spans="1:3" hidden="1">
      <c r="A52" s="2">
        <v>27</v>
      </c>
      <c r="B52" s="2">
        <v>2</v>
      </c>
      <c r="C52" s="2">
        <f t="shared" si="0"/>
        <v>0</v>
      </c>
    </row>
    <row r="53" spans="1:3" hidden="1">
      <c r="A53" s="2">
        <v>28</v>
      </c>
      <c r="B53" s="2">
        <v>5</v>
      </c>
      <c r="C53" s="2">
        <f t="shared" si="0"/>
        <v>0</v>
      </c>
    </row>
    <row r="54" spans="1:3" hidden="1">
      <c r="A54" s="2">
        <v>29</v>
      </c>
      <c r="B54" s="2">
        <v>7</v>
      </c>
      <c r="C54" s="2">
        <f t="shared" si="0"/>
        <v>0</v>
      </c>
    </row>
    <row r="55" spans="1:3" hidden="1">
      <c r="A55" s="2">
        <v>30</v>
      </c>
      <c r="B55" s="2">
        <v>4</v>
      </c>
      <c r="C55" s="2">
        <f t="shared" si="0"/>
        <v>0</v>
      </c>
    </row>
    <row r="56" spans="1:3" hidden="1">
      <c r="A56" s="2">
        <v>31</v>
      </c>
      <c r="B56" s="2">
        <v>5</v>
      </c>
      <c r="C56" s="2">
        <f t="shared" si="0"/>
        <v>0</v>
      </c>
    </row>
    <row r="57" spans="1:3" hidden="1">
      <c r="A57" s="2">
        <v>32</v>
      </c>
      <c r="B57" s="2">
        <v>7</v>
      </c>
      <c r="C57" s="2">
        <f t="shared" si="0"/>
        <v>0</v>
      </c>
    </row>
    <row r="58" spans="1:3" hidden="1">
      <c r="A58" s="2">
        <v>33</v>
      </c>
      <c r="B58" s="2">
        <v>8</v>
      </c>
      <c r="C58" s="2">
        <f t="shared" si="0"/>
        <v>0</v>
      </c>
    </row>
    <row r="59" spans="1:3" hidden="1">
      <c r="A59" s="2">
        <v>34</v>
      </c>
      <c r="B59" s="2">
        <v>9</v>
      </c>
      <c r="C59" s="2">
        <f t="shared" si="0"/>
        <v>0</v>
      </c>
    </row>
    <row r="60" spans="1:3" hidden="1">
      <c r="A60" s="2">
        <v>35</v>
      </c>
      <c r="B60" s="2">
        <v>5</v>
      </c>
      <c r="C60" s="2">
        <f t="shared" si="0"/>
        <v>0</v>
      </c>
    </row>
    <row r="61" spans="1:3" hidden="1">
      <c r="A61" s="2">
        <v>36</v>
      </c>
      <c r="B61" s="2">
        <v>3</v>
      </c>
      <c r="C61" s="2">
        <f t="shared" si="0"/>
        <v>0</v>
      </c>
    </row>
    <row r="62" spans="1:3" hidden="1">
      <c r="A62" s="2">
        <v>37</v>
      </c>
      <c r="B62" s="2">
        <v>5</v>
      </c>
      <c r="C62" s="2">
        <f t="shared" si="0"/>
        <v>0</v>
      </c>
    </row>
    <row r="63" spans="1:3" hidden="1">
      <c r="A63" s="2">
        <v>38</v>
      </c>
      <c r="B63" s="2">
        <v>7</v>
      </c>
      <c r="C63" s="2">
        <f t="shared" si="0"/>
        <v>0</v>
      </c>
    </row>
    <row r="64" spans="1:3" hidden="1">
      <c r="A64" s="2">
        <v>39</v>
      </c>
      <c r="B64" s="2">
        <v>3</v>
      </c>
      <c r="C64" s="2">
        <f t="shared" si="0"/>
        <v>0</v>
      </c>
    </row>
    <row r="65" spans="1:8" hidden="1">
      <c r="A65" s="2">
        <v>40</v>
      </c>
      <c r="B65" s="2">
        <v>6</v>
      </c>
      <c r="C65" s="2">
        <f t="shared" si="0"/>
        <v>0</v>
      </c>
    </row>
    <row r="66" spans="1:8" hidden="1">
      <c r="A66" s="2">
        <v>41</v>
      </c>
      <c r="B66" s="2">
        <v>7</v>
      </c>
      <c r="C66" s="2">
        <f t="shared" si="0"/>
        <v>0</v>
      </c>
    </row>
    <row r="67" spans="1:8" hidden="1">
      <c r="A67" s="2">
        <v>42</v>
      </c>
      <c r="B67" s="2">
        <v>8</v>
      </c>
      <c r="C67" s="2">
        <f t="shared" si="0"/>
        <v>0</v>
      </c>
    </row>
    <row r="68" spans="1:8" hidden="1">
      <c r="A68" s="2">
        <v>43</v>
      </c>
      <c r="B68" s="2">
        <v>2</v>
      </c>
      <c r="C68" s="2">
        <f t="shared" si="0"/>
        <v>0</v>
      </c>
    </row>
    <row r="69" spans="1:8" hidden="1">
      <c r="A69" s="2">
        <v>44</v>
      </c>
      <c r="B69" s="2">
        <v>5</v>
      </c>
      <c r="C69" s="2">
        <f t="shared" si="0"/>
        <v>0</v>
      </c>
    </row>
    <row r="70" spans="1:8" hidden="1">
      <c r="A70" s="2">
        <v>45</v>
      </c>
      <c r="B70" s="2">
        <v>7</v>
      </c>
      <c r="C70" s="2">
        <f t="shared" si="0"/>
        <v>0</v>
      </c>
      <c r="D70" s="2">
        <f>B18</f>
        <v>1</v>
      </c>
    </row>
    <row r="71" spans="1:8" hidden="1">
      <c r="A71" s="8" t="s">
        <v>5</v>
      </c>
      <c r="C71" s="9">
        <f>SUM(C26:C70)</f>
        <v>6</v>
      </c>
      <c r="D71" s="9">
        <f>(C71*10)+C72</f>
        <v>69</v>
      </c>
      <c r="E71" s="9">
        <f>(D71*10)+D70</f>
        <v>691</v>
      </c>
      <c r="F71" s="9">
        <f>IF((C71+D71+E71)*10&lt;10000,(C71+D71+E71)*10,9434)</f>
        <v>7660</v>
      </c>
      <c r="G71" s="9">
        <f>B19</f>
        <v>11111</v>
      </c>
      <c r="H71" s="9">
        <f>G71*4</f>
        <v>44444</v>
      </c>
    </row>
    <row r="72" spans="1:8" hidden="1">
      <c r="C72" s="9">
        <f>IF(C71&lt;5, C71*2,9)</f>
        <v>9</v>
      </c>
      <c r="D72" s="9">
        <f>(C72*10)+C73</f>
        <v>92</v>
      </c>
      <c r="E72" s="9">
        <f>(D72*10)+D70</f>
        <v>921</v>
      </c>
      <c r="F72" s="9">
        <f>IF((C72+D72+E72)*10&lt;10000,(C72+D72+E72)*10,7165)</f>
        <v>7165</v>
      </c>
      <c r="G72" s="9">
        <f t="shared" ref="G72:H74" si="1">G71*2</f>
        <v>22222</v>
      </c>
      <c r="H72" s="9">
        <f t="shared" si="1"/>
        <v>88888</v>
      </c>
    </row>
    <row r="73" spans="1:8" hidden="1">
      <c r="C73" s="9">
        <f>IF(C71&lt;4,C71*3,2)</f>
        <v>2</v>
      </c>
      <c r="D73" s="9">
        <f>(C73*10)+C74</f>
        <v>27</v>
      </c>
      <c r="E73" s="9">
        <f>(D73*10)+D72</f>
        <v>362</v>
      </c>
      <c r="F73" s="9">
        <f>IF((C73+D73+E73)*10&lt;10000,(C73+D73+E73)*10,3467)</f>
        <v>3910</v>
      </c>
      <c r="G73" s="9">
        <f t="shared" si="1"/>
        <v>44444</v>
      </c>
      <c r="H73" s="9">
        <f t="shared" si="1"/>
        <v>177776</v>
      </c>
    </row>
    <row r="74" spans="1:8" hidden="1">
      <c r="C74" s="9">
        <f>IF((C72-C73&gt;0),C72-C73,7)</f>
        <v>7</v>
      </c>
      <c r="D74" s="9">
        <f>(C74*10)+C75</f>
        <v>71</v>
      </c>
      <c r="E74" s="9">
        <f>(D74*10)+D73</f>
        <v>737</v>
      </c>
      <c r="F74" s="9">
        <f>IF((C74+D74+E74)*10&lt;10000,(C74+D74+E74)*10,1818)</f>
        <v>8150</v>
      </c>
      <c r="G74" s="9">
        <f t="shared" si="1"/>
        <v>88888</v>
      </c>
      <c r="H74" s="9">
        <f t="shared" si="1"/>
        <v>355552</v>
      </c>
    </row>
    <row r="75" spans="1:8" hidden="1">
      <c r="C75" s="10">
        <f>B15</f>
        <v>1</v>
      </c>
      <c r="D75" s="10"/>
      <c r="E75" s="10"/>
      <c r="F75" s="10"/>
      <c r="G75" s="10"/>
      <c r="H75" s="10"/>
    </row>
    <row r="76" spans="1:8" hidden="1">
      <c r="C76" s="10"/>
      <c r="D76" s="10"/>
      <c r="E76" s="10"/>
      <c r="F76" s="10"/>
      <c r="G76" s="10"/>
      <c r="H76" s="10"/>
    </row>
    <row r="77" spans="1:8" hidden="1">
      <c r="C77" s="9">
        <f t="shared" ref="C77:H77" si="2">C71*2</f>
        <v>12</v>
      </c>
      <c r="D77" s="9">
        <f t="shared" si="2"/>
        <v>138</v>
      </c>
      <c r="E77" s="9">
        <f t="shared" si="2"/>
        <v>1382</v>
      </c>
      <c r="F77" s="9">
        <f t="shared" si="2"/>
        <v>15320</v>
      </c>
      <c r="G77" s="9">
        <f t="shared" si="2"/>
        <v>22222</v>
      </c>
      <c r="H77" s="9">
        <f t="shared" si="2"/>
        <v>88888</v>
      </c>
    </row>
    <row r="78" spans="1:8" hidden="1">
      <c r="C78" s="9">
        <f t="shared" ref="C78:H80" si="3">C72*2</f>
        <v>18</v>
      </c>
      <c r="D78" s="9">
        <f t="shared" si="3"/>
        <v>184</v>
      </c>
      <c r="E78" s="9">
        <f t="shared" si="3"/>
        <v>1842</v>
      </c>
      <c r="F78" s="9">
        <f t="shared" si="3"/>
        <v>14330</v>
      </c>
      <c r="G78" s="9">
        <f t="shared" si="3"/>
        <v>44444</v>
      </c>
      <c r="H78" s="9">
        <f t="shared" si="3"/>
        <v>177776</v>
      </c>
    </row>
    <row r="79" spans="1:8" hidden="1">
      <c r="C79" s="9">
        <f t="shared" si="3"/>
        <v>4</v>
      </c>
      <c r="D79" s="9">
        <f t="shared" si="3"/>
        <v>54</v>
      </c>
      <c r="E79" s="9">
        <f t="shared" si="3"/>
        <v>724</v>
      </c>
      <c r="F79" s="9">
        <f t="shared" si="3"/>
        <v>7820</v>
      </c>
      <c r="G79" s="9">
        <f t="shared" si="3"/>
        <v>88888</v>
      </c>
      <c r="H79" s="9">
        <f t="shared" si="3"/>
        <v>355552</v>
      </c>
    </row>
    <row r="80" spans="1:8" hidden="1">
      <c r="C80" s="9">
        <f t="shared" si="3"/>
        <v>14</v>
      </c>
      <c r="D80" s="9">
        <f t="shared" si="3"/>
        <v>142</v>
      </c>
      <c r="E80" s="9">
        <f t="shared" si="3"/>
        <v>1474</v>
      </c>
      <c r="F80" s="9">
        <f>F74*2</f>
        <v>16300</v>
      </c>
      <c r="G80" s="9">
        <f t="shared" si="3"/>
        <v>177776</v>
      </c>
      <c r="H80" s="9">
        <f t="shared" si="3"/>
        <v>711104</v>
      </c>
    </row>
    <row r="81" hidden="1"/>
  </sheetData>
  <sheetProtection algorithmName="SHA-512" hashValue="XIK/Iw2ee8i3kzDw3Wmcsv9fnE53hq2mPSyc4yYakwdO9/HXinh2sjFxv7Xfj+f1BQRCv3Srwf1hIlsHgBu8xw==" saltValue="EnJkMRqkmUQZJU7iLTZ78g=="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147"/>
  <sheetViews>
    <sheetView topLeftCell="A28" zoomScaleNormal="100" workbookViewId="0">
      <selection activeCell="E40" sqref="E40"/>
    </sheetView>
  </sheetViews>
  <sheetFormatPr defaultColWidth="0" defaultRowHeight="15" zeroHeight="1"/>
  <cols>
    <col min="1" max="1" width="8.85546875" style="12" bestFit="1" customWidth="1"/>
    <col min="2" max="2" width="1.42578125" style="15" customWidth="1"/>
    <col min="3" max="3" width="46.7109375" style="15" bestFit="1" customWidth="1"/>
    <col min="4" max="4" width="5" style="15" customWidth="1"/>
    <col min="5" max="5" width="11.28515625" style="15" bestFit="1" customWidth="1"/>
    <col min="6" max="6" width="14" style="15" bestFit="1" customWidth="1"/>
    <col min="7" max="7" width="1.42578125" style="15" customWidth="1"/>
    <col min="8" max="8" width="11.5703125" style="12" customWidth="1"/>
    <col min="9" max="10" width="11.5703125" style="12" hidden="1" customWidth="1"/>
    <col min="11" max="11" width="18.28515625" style="12" hidden="1" customWidth="1"/>
    <col min="12" max="12" width="8.85546875" style="12" hidden="1" customWidth="1"/>
    <col min="13" max="13" width="1.42578125" style="15" hidden="1" customWidth="1"/>
    <col min="14" max="14" width="44.85546875" style="15" hidden="1" customWidth="1"/>
    <col min="15" max="15" width="4.7109375" style="15" hidden="1" customWidth="1"/>
    <col min="16" max="16" width="11.28515625" style="15" hidden="1" customWidth="1"/>
    <col min="17" max="17" width="12.85546875" style="15" hidden="1" customWidth="1"/>
    <col min="18" max="18" width="1.42578125" style="15" hidden="1" customWidth="1"/>
    <col min="19" max="20" width="7.5703125" style="12" hidden="1" customWidth="1"/>
    <col min="21" max="21" width="9.140625" style="12" hidden="1" customWidth="1"/>
    <col min="22" max="22" width="10.5703125" style="12" hidden="1" customWidth="1"/>
    <col min="23" max="24" width="11.5703125" style="12" hidden="1" customWidth="1"/>
    <col min="25" max="25" width="13.28515625" style="12" hidden="1" customWidth="1"/>
    <col min="26" max="16384" width="9.140625" style="12" hidden="1"/>
  </cols>
  <sheetData>
    <row r="1" spans="1:31" s="13" customFormat="1" ht="72" customHeight="1">
      <c r="A1" s="12"/>
      <c r="B1" s="109" t="s">
        <v>81</v>
      </c>
      <c r="C1" s="109"/>
      <c r="D1" s="109"/>
      <c r="E1" s="109"/>
      <c r="F1" s="109"/>
      <c r="G1" s="109"/>
      <c r="H1" s="12"/>
      <c r="I1" s="12"/>
    </row>
    <row r="2" spans="1:31" s="13" customFormat="1">
      <c r="A2" s="12"/>
      <c r="B2" s="12"/>
      <c r="C2" s="12"/>
      <c r="D2" s="12"/>
      <c r="E2" s="12"/>
      <c r="F2" s="12"/>
      <c r="G2" s="12"/>
      <c r="H2" s="12"/>
      <c r="I2" s="12"/>
    </row>
    <row r="3" spans="1:31" s="13" customFormat="1" ht="109.5" customHeight="1">
      <c r="A3" s="12"/>
      <c r="B3" s="110" t="str">
        <f>M3</f>
        <v>Enter Name Here Corporation specializes in supplying construction goods to residential home builders.  In order to hedge against any drop in demand for its supplies, Enter Name Here Corporation has invested in Brown Corporation and Machine Corporation.  The investment in Brown Corporation is to be accounted for as Available-for-Sale (AFS) debt securities and the investment in Machine Corporation gives Enter Name Here Corporation significant influence on Machine Corporation's business.  The following balance sheet was presented at the end of year 20X1.</v>
      </c>
      <c r="C3" s="110"/>
      <c r="D3" s="110"/>
      <c r="E3" s="110"/>
      <c r="F3" s="110"/>
      <c r="G3" s="110"/>
      <c r="H3" s="12"/>
      <c r="I3" s="12"/>
      <c r="M3" s="123" t="str">
        <f>CONCATENATE(Identification!$B$1," Corporation specializes in supplying construction goods to residential home builders.  In order to hedge against any drop in demand for its supplies, ", Identification!$B$1," Corporation has invested in Brown Corporation and Machine Corporation.  The investment in Brown Corporation is to be accounted for as Available-for-Sale (AFS) debt securities and the investment in Machine Corporation gives ",Identification!$B$1," Corporation significant influence on Machine Corporation's business.  The following balance sheet was presented at the end of year 20X1.")</f>
        <v>Enter Name Here Corporation specializes in supplying construction goods to residential home builders.  In order to hedge against any drop in demand for its supplies, Enter Name Here Corporation has invested in Brown Corporation and Machine Corporation.  The investment in Brown Corporation is to be accounted for as Available-for-Sale (AFS) debt securities and the investment in Machine Corporation gives Enter Name Here Corporation significant influence on Machine Corporation's business.  The following balance sheet was presented at the end of year 20X1.</v>
      </c>
      <c r="N3" s="123"/>
      <c r="O3" s="123"/>
      <c r="P3" s="123"/>
      <c r="Q3" s="123"/>
      <c r="R3" s="123"/>
      <c r="Z3" s="14">
        <f>Identification!$C$71</f>
        <v>6</v>
      </c>
      <c r="AA3" s="14">
        <f>Identification!$D$71</f>
        <v>69</v>
      </c>
      <c r="AB3" s="14">
        <f>Identification!$E$71</f>
        <v>691</v>
      </c>
      <c r="AC3" s="14">
        <f>Identification!$F$71</f>
        <v>7660</v>
      </c>
      <c r="AD3" s="14">
        <f>Identification!$G$71</f>
        <v>11111</v>
      </c>
      <c r="AE3" s="14">
        <f>Identification!$H$71</f>
        <v>44444</v>
      </c>
    </row>
    <row r="4" spans="1:31" s="13" customFormat="1">
      <c r="A4" s="12"/>
      <c r="B4" s="15"/>
      <c r="C4" s="15"/>
      <c r="D4" s="15"/>
      <c r="E4" s="15"/>
      <c r="F4" s="15"/>
      <c r="G4" s="15"/>
      <c r="H4" s="12"/>
      <c r="I4" s="12"/>
      <c r="M4" s="16"/>
      <c r="N4" s="16"/>
      <c r="O4" s="16"/>
      <c r="P4" s="16"/>
      <c r="Q4" s="16"/>
      <c r="R4" s="16"/>
      <c r="Z4" s="14">
        <f>Identification!$C$72</f>
        <v>9</v>
      </c>
      <c r="AA4" s="14">
        <f>Identification!$D$72</f>
        <v>92</v>
      </c>
      <c r="AB4" s="14">
        <f>Identification!$E$72</f>
        <v>921</v>
      </c>
      <c r="AC4" s="14">
        <f>Identification!$F$72</f>
        <v>7165</v>
      </c>
      <c r="AD4" s="14">
        <f>Identification!$G$72</f>
        <v>22222</v>
      </c>
      <c r="AE4" s="14">
        <f>Identification!$H$72</f>
        <v>88888</v>
      </c>
    </row>
    <row r="5" spans="1:31" s="13" customFormat="1">
      <c r="A5" s="12"/>
      <c r="B5" s="68"/>
      <c r="C5" s="68"/>
      <c r="D5" s="68"/>
      <c r="E5" s="68"/>
      <c r="F5" s="68"/>
      <c r="G5" s="68"/>
      <c r="H5" s="12"/>
      <c r="I5" s="12"/>
      <c r="M5" s="17"/>
      <c r="N5" s="17"/>
      <c r="O5" s="17"/>
      <c r="P5" s="17"/>
      <c r="Q5" s="17"/>
      <c r="R5" s="17"/>
      <c r="Z5" s="14">
        <f>Identification!$C$73</f>
        <v>2</v>
      </c>
      <c r="AA5" s="14">
        <f>Identification!$D$73</f>
        <v>27</v>
      </c>
      <c r="AB5" s="14">
        <f>Identification!$E$73</f>
        <v>362</v>
      </c>
      <c r="AC5" s="14">
        <f>Identification!$F$73</f>
        <v>3910</v>
      </c>
      <c r="AD5" s="14">
        <f>Identification!$G$73</f>
        <v>44444</v>
      </c>
      <c r="AE5" s="14">
        <f>Identification!$H$73</f>
        <v>177776</v>
      </c>
    </row>
    <row r="6" spans="1:31" s="13" customFormat="1">
      <c r="A6" s="12"/>
      <c r="B6" s="111" t="str">
        <f>M6</f>
        <v>ENTER NAME HERE CORPORATION</v>
      </c>
      <c r="C6" s="111"/>
      <c r="D6" s="111"/>
      <c r="E6" s="111"/>
      <c r="F6" s="111"/>
      <c r="G6" s="111"/>
      <c r="H6" s="12"/>
      <c r="I6" s="12"/>
      <c r="J6"/>
      <c r="K6" s="13" t="str">
        <f>$N$65</f>
        <v>Investment Income</v>
      </c>
      <c r="M6" s="124" t="str">
        <f>CONCATENATE(UPPER(Identification!$B$1)," CORPORATION")</f>
        <v>ENTER NAME HERE CORPORATION</v>
      </c>
      <c r="N6" s="124"/>
      <c r="O6" s="124"/>
      <c r="P6" s="124"/>
      <c r="Q6" s="124"/>
      <c r="R6" s="124"/>
      <c r="Z6" s="14">
        <f>Identification!$C$74</f>
        <v>7</v>
      </c>
      <c r="AA6" s="14">
        <f>Identification!$D$74</f>
        <v>71</v>
      </c>
      <c r="AB6" s="14">
        <f>Identification!$E$74</f>
        <v>737</v>
      </c>
      <c r="AC6" s="14">
        <f>Identification!$F$74</f>
        <v>8150</v>
      </c>
      <c r="AD6" s="14">
        <f>Identification!$G$74</f>
        <v>88888</v>
      </c>
      <c r="AE6" s="14">
        <f>Identification!$H$74</f>
        <v>355552</v>
      </c>
    </row>
    <row r="7" spans="1:31" s="13" customFormat="1">
      <c r="A7" s="12"/>
      <c r="B7" s="111" t="s">
        <v>7</v>
      </c>
      <c r="C7" s="111"/>
      <c r="D7" s="111"/>
      <c r="E7" s="111"/>
      <c r="F7" s="111"/>
      <c r="G7" s="111"/>
      <c r="H7" s="12"/>
      <c r="I7" s="12"/>
      <c r="J7"/>
      <c r="K7" s="13" t="str">
        <f>$N$64</f>
        <v>Investment</v>
      </c>
      <c r="M7" s="124" t="s">
        <v>7</v>
      </c>
      <c r="N7" s="124"/>
      <c r="O7" s="124"/>
      <c r="P7" s="124"/>
      <c r="Q7" s="124"/>
      <c r="R7" s="124"/>
      <c r="U7" s="113" t="s">
        <v>52</v>
      </c>
      <c r="V7" s="113"/>
      <c r="W7" s="113"/>
      <c r="X7" s="113"/>
      <c r="Y7" s="114"/>
      <c r="Z7" s="18"/>
      <c r="AA7" s="18"/>
      <c r="AB7" s="18"/>
      <c r="AC7" s="18"/>
      <c r="AD7" s="18"/>
      <c r="AE7" s="18"/>
    </row>
    <row r="8" spans="1:31" s="13" customFormat="1">
      <c r="A8" s="12"/>
      <c r="B8" s="111" t="s">
        <v>40</v>
      </c>
      <c r="C8" s="111"/>
      <c r="D8" s="111"/>
      <c r="E8" s="111"/>
      <c r="F8" s="111"/>
      <c r="G8" s="111"/>
      <c r="H8" s="12"/>
      <c r="I8" s="12"/>
      <c r="J8"/>
      <c r="K8" s="13" t="str">
        <f>$N$70</f>
        <v>Cash</v>
      </c>
      <c r="M8" s="124" t="s">
        <v>40</v>
      </c>
      <c r="N8" s="124"/>
      <c r="O8" s="124"/>
      <c r="P8" s="124"/>
      <c r="Q8" s="124"/>
      <c r="R8" s="124"/>
      <c r="U8" s="13" t="s">
        <v>54</v>
      </c>
      <c r="V8" s="13" t="s">
        <v>55</v>
      </c>
      <c r="W8" s="13" t="s">
        <v>54</v>
      </c>
      <c r="X8" s="13" t="s">
        <v>43</v>
      </c>
      <c r="Y8" s="13" t="s">
        <v>74</v>
      </c>
      <c r="Z8" s="18"/>
      <c r="AA8" s="18"/>
      <c r="AB8" s="18"/>
      <c r="AC8" s="18"/>
      <c r="AD8" s="18"/>
      <c r="AE8" s="18"/>
    </row>
    <row r="9" spans="1:31" s="13" customFormat="1">
      <c r="A9" s="12"/>
      <c r="B9" s="68"/>
      <c r="C9" s="68"/>
      <c r="D9" s="68"/>
      <c r="E9" s="68"/>
      <c r="F9" s="68"/>
      <c r="G9" s="68"/>
      <c r="H9" s="12"/>
      <c r="I9" s="12"/>
      <c r="J9"/>
      <c r="K9" s="13" t="str">
        <f>$N$47</f>
        <v>Unrealized Gain/Other Comprehensive Income</v>
      </c>
      <c r="M9" s="17"/>
      <c r="N9" s="17"/>
      <c r="O9" s="17"/>
      <c r="P9" s="17"/>
      <c r="Q9" s="17"/>
      <c r="R9" s="17"/>
      <c r="U9" s="19">
        <f>ROUND(X9*0.08,0)</f>
        <v>31600</v>
      </c>
      <c r="V9" s="19">
        <f>ROUND(X9*0.15,0)</f>
        <v>59250</v>
      </c>
      <c r="W9" s="19">
        <f>X9*0.05</f>
        <v>19750</v>
      </c>
      <c r="X9" s="19">
        <f>Y9</f>
        <v>395000</v>
      </c>
      <c r="Y9" s="19">
        <f>ROUND(IF(AC11&lt;1000,AC11*1000,IF(AC11&gt;1000,AC11*100,100000)),-3)</f>
        <v>395000</v>
      </c>
      <c r="Z9" s="14">
        <f>Z3*2</f>
        <v>12</v>
      </c>
      <c r="AA9" s="14">
        <f>(Z9+Z10)/2</f>
        <v>15</v>
      </c>
      <c r="AB9" s="14">
        <f>AB3*2</f>
        <v>1382</v>
      </c>
      <c r="AC9" s="14">
        <f>AC3*2</f>
        <v>15320</v>
      </c>
      <c r="AD9" s="14">
        <f>AD3*2</f>
        <v>22222</v>
      </c>
      <c r="AE9" s="14">
        <f>AE3*2</f>
        <v>88888</v>
      </c>
    </row>
    <row r="10" spans="1:31" s="13" customFormat="1">
      <c r="A10" s="12"/>
      <c r="B10" s="71"/>
      <c r="C10" s="72" t="s">
        <v>8</v>
      </c>
      <c r="D10" s="72"/>
      <c r="E10" s="73"/>
      <c r="F10" s="74"/>
      <c r="G10" s="75"/>
      <c r="H10" s="12"/>
      <c r="I10" s="12"/>
      <c r="J10"/>
      <c r="K10" s="13" t="str">
        <f>$N$41</f>
        <v>Available-For-Sale Debt Securities</v>
      </c>
      <c r="M10" s="20"/>
      <c r="N10" s="21" t="s">
        <v>8</v>
      </c>
      <c r="O10" s="21"/>
      <c r="P10" s="22"/>
      <c r="Q10" s="23"/>
      <c r="R10" s="24"/>
      <c r="X10" s="31"/>
      <c r="Y10" s="19"/>
      <c r="Z10" s="14">
        <f t="shared" ref="Z10:AE12" si="0">Z4*2</f>
        <v>18</v>
      </c>
      <c r="AA10" s="14">
        <f>AA4*2</f>
        <v>184</v>
      </c>
      <c r="AB10" s="14">
        <f>(AA9+AA10)/3</f>
        <v>66.333333333333329</v>
      </c>
      <c r="AC10" s="14">
        <f t="shared" si="0"/>
        <v>14330</v>
      </c>
      <c r="AD10" s="14">
        <f t="shared" si="0"/>
        <v>44444</v>
      </c>
      <c r="AE10" s="14">
        <f t="shared" si="0"/>
        <v>177776</v>
      </c>
    </row>
    <row r="11" spans="1:31" s="13" customFormat="1">
      <c r="A11" s="12"/>
      <c r="B11" s="71"/>
      <c r="C11" s="76" t="s">
        <v>9</v>
      </c>
      <c r="D11" s="72"/>
      <c r="E11" s="73"/>
      <c r="F11" s="74"/>
      <c r="G11" s="75"/>
      <c r="H11" s="12"/>
      <c r="I11" s="12"/>
      <c r="J11"/>
      <c r="K11" s="13" t="str">
        <f>$N$40</f>
        <v>Unrealized Loss/Other Comprehensive Income</v>
      </c>
      <c r="M11" s="20"/>
      <c r="N11" s="25" t="s">
        <v>9</v>
      </c>
      <c r="O11" s="21"/>
      <c r="P11" s="22"/>
      <c r="Q11" s="23"/>
      <c r="R11" s="24"/>
      <c r="U11" s="113" t="s">
        <v>53</v>
      </c>
      <c r="V11" s="113"/>
      <c r="W11" s="113"/>
      <c r="X11" s="113"/>
      <c r="Y11" s="113"/>
      <c r="Z11" s="14">
        <f t="shared" si="0"/>
        <v>4</v>
      </c>
      <c r="AA11" s="14">
        <f t="shared" si="0"/>
        <v>54</v>
      </c>
      <c r="AB11" s="14">
        <f t="shared" si="0"/>
        <v>724</v>
      </c>
      <c r="AC11" s="26">
        <f>(AB10+AB11)/Z5</f>
        <v>395.16666666666669</v>
      </c>
      <c r="AD11" s="14">
        <f t="shared" si="0"/>
        <v>88888</v>
      </c>
      <c r="AE11" s="14">
        <f t="shared" si="0"/>
        <v>355552</v>
      </c>
    </row>
    <row r="12" spans="1:31" s="13" customFormat="1">
      <c r="A12" s="12"/>
      <c r="B12" s="71"/>
      <c r="C12" s="77" t="s">
        <v>6</v>
      </c>
      <c r="D12" s="78"/>
      <c r="E12" s="74">
        <f>P12</f>
        <v>255000</v>
      </c>
      <c r="F12" s="74"/>
      <c r="G12" s="75"/>
      <c r="H12" s="12"/>
      <c r="I12" s="12"/>
      <c r="M12" s="20"/>
      <c r="N12" s="27" t="s">
        <v>6</v>
      </c>
      <c r="O12" s="28"/>
      <c r="P12" s="23">
        <f>ROUND(Q18*0.25,-3)</f>
        <v>255000</v>
      </c>
      <c r="Q12" s="23"/>
      <c r="R12" s="24"/>
      <c r="V12" s="13" t="s">
        <v>59</v>
      </c>
      <c r="W12" s="13" t="s">
        <v>58</v>
      </c>
      <c r="X12" s="13" t="s">
        <v>57</v>
      </c>
      <c r="Y12" s="13" t="s">
        <v>56</v>
      </c>
      <c r="Z12" s="14">
        <f t="shared" si="0"/>
        <v>14</v>
      </c>
      <c r="AA12" s="14">
        <f t="shared" si="0"/>
        <v>142</v>
      </c>
      <c r="AB12" s="14">
        <f t="shared" si="0"/>
        <v>1474</v>
      </c>
      <c r="AC12" s="14">
        <f>AC6*2</f>
        <v>16300</v>
      </c>
      <c r="AD12" s="26">
        <f>(AC11+AC12)/Z10</f>
        <v>927.50925925925935</v>
      </c>
      <c r="AE12" s="14">
        <f t="shared" si="0"/>
        <v>711104</v>
      </c>
    </row>
    <row r="13" spans="1:31" s="13" customFormat="1">
      <c r="A13" s="12"/>
      <c r="B13" s="71"/>
      <c r="C13" s="77" t="s">
        <v>10</v>
      </c>
      <c r="D13" s="78"/>
      <c r="E13" s="79">
        <f>P13</f>
        <v>128000</v>
      </c>
      <c r="F13" s="80">
        <f>SUM(E12:E13)</f>
        <v>383000</v>
      </c>
      <c r="G13" s="75"/>
      <c r="H13" s="12"/>
      <c r="I13" s="12"/>
      <c r="M13" s="20"/>
      <c r="N13" s="27" t="s">
        <v>10</v>
      </c>
      <c r="O13" s="28"/>
      <c r="P13" s="29">
        <f>ROUND(P12*0.5,-3)</f>
        <v>128000</v>
      </c>
      <c r="Q13" s="30">
        <f>SUM(P12:P13)</f>
        <v>383000</v>
      </c>
      <c r="R13" s="24"/>
      <c r="V13" s="31">
        <f>ROUND(W13*0.4,0)</f>
        <v>130000</v>
      </c>
      <c r="W13" s="31">
        <f>ROUND(0.35*Y13,-3)</f>
        <v>325000</v>
      </c>
      <c r="X13" s="32">
        <f>IF(Y13&gt;500000,0.35,0.25)</f>
        <v>0.35</v>
      </c>
      <c r="Y13" s="19">
        <f>ROUND(IF(AD12&lt;1000,AD12*1000,IF(AD12&gt;1000,AD12*100,100000)),-3)</f>
        <v>928000</v>
      </c>
    </row>
    <row r="14" spans="1:31" s="13" customFormat="1">
      <c r="A14" s="12"/>
      <c r="B14" s="71"/>
      <c r="C14" s="76" t="s">
        <v>11</v>
      </c>
      <c r="D14" s="72"/>
      <c r="E14" s="73"/>
      <c r="F14" s="74"/>
      <c r="G14" s="75"/>
      <c r="H14" s="12"/>
      <c r="I14" s="12"/>
      <c r="J14"/>
      <c r="K14" s="31">
        <f>$P$40</f>
        <v>19750</v>
      </c>
      <c r="M14" s="20"/>
      <c r="N14" s="25" t="s">
        <v>11</v>
      </c>
      <c r="O14" s="21"/>
      <c r="P14" s="22"/>
      <c r="Q14" s="23"/>
      <c r="R14" s="24"/>
    </row>
    <row r="15" spans="1:31" s="13" customFormat="1">
      <c r="A15" s="12"/>
      <c r="B15" s="71"/>
      <c r="C15" s="77" t="s">
        <v>77</v>
      </c>
      <c r="D15" s="72"/>
      <c r="E15" s="74">
        <f>P15</f>
        <v>395000</v>
      </c>
      <c r="F15" s="74"/>
      <c r="G15" s="75"/>
      <c r="H15" s="12"/>
      <c r="I15" s="12"/>
      <c r="J15"/>
      <c r="K15" s="31">
        <f>$P$52</f>
        <v>31600</v>
      </c>
      <c r="M15" s="20"/>
      <c r="N15" s="27" t="s">
        <v>77</v>
      </c>
      <c r="O15" s="21"/>
      <c r="P15" s="23">
        <f>Y9</f>
        <v>395000</v>
      </c>
      <c r="Q15" s="23"/>
      <c r="R15" s="24"/>
    </row>
    <row r="16" spans="1:31" s="13" customFormat="1">
      <c r="A16" s="12"/>
      <c r="B16" s="71"/>
      <c r="C16" s="77" t="s">
        <v>41</v>
      </c>
      <c r="D16" s="78"/>
      <c r="E16" s="79">
        <f>P16</f>
        <v>928000</v>
      </c>
      <c r="F16" s="81">
        <f>SUM(E15:E16)</f>
        <v>1323000</v>
      </c>
      <c r="G16" s="75"/>
      <c r="H16" s="12"/>
      <c r="I16" s="12"/>
      <c r="J16"/>
      <c r="K16" s="31">
        <f>$Q$76</f>
        <v>996250</v>
      </c>
      <c r="M16" s="20"/>
      <c r="N16" s="27" t="s">
        <v>41</v>
      </c>
      <c r="O16" s="28"/>
      <c r="P16" s="29">
        <f>Y13</f>
        <v>928000</v>
      </c>
      <c r="Q16" s="30">
        <f>SUM(P15:P16)</f>
        <v>1323000</v>
      </c>
      <c r="R16" s="24"/>
    </row>
    <row r="17" spans="1:19" s="13" customFormat="1">
      <c r="A17" s="12"/>
      <c r="B17" s="71"/>
      <c r="C17" s="76" t="s">
        <v>12</v>
      </c>
      <c r="D17" s="72"/>
      <c r="E17" s="82"/>
      <c r="F17" s="81"/>
      <c r="G17" s="75"/>
      <c r="H17" s="12"/>
      <c r="I17" s="12"/>
      <c r="J17"/>
      <c r="K17" s="31">
        <f>$P$46</f>
        <v>59250</v>
      </c>
      <c r="M17" s="20"/>
      <c r="N17" s="25" t="s">
        <v>12</v>
      </c>
      <c r="O17" s="21"/>
      <c r="P17" s="33"/>
      <c r="Q17" s="30"/>
      <c r="R17" s="24"/>
    </row>
    <row r="18" spans="1:19" s="13" customFormat="1">
      <c r="A18" s="12"/>
      <c r="B18" s="71"/>
      <c r="C18" s="77" t="s">
        <v>13</v>
      </c>
      <c r="D18" s="74"/>
      <c r="E18" s="79"/>
      <c r="F18" s="79">
        <f>Q18</f>
        <v>1020800</v>
      </c>
      <c r="G18" s="75"/>
      <c r="H18" s="12"/>
      <c r="I18" s="12"/>
      <c r="J18"/>
      <c r="K18" s="31">
        <f>$Q$59</f>
        <v>402900</v>
      </c>
      <c r="M18" s="20"/>
      <c r="N18" s="27" t="s">
        <v>13</v>
      </c>
      <c r="O18" s="23"/>
      <c r="P18" s="29"/>
      <c r="Q18" s="29">
        <f>ROUND(Y13*1.1,0)</f>
        <v>1020800</v>
      </c>
      <c r="R18" s="24"/>
    </row>
    <row r="19" spans="1:19" s="13" customFormat="1">
      <c r="A19" s="12"/>
      <c r="B19" s="71"/>
      <c r="C19" s="78" t="s">
        <v>14</v>
      </c>
      <c r="D19" s="78"/>
      <c r="E19" s="82"/>
      <c r="F19" s="83">
        <f>SUM(F13:F18)</f>
        <v>2726800</v>
      </c>
      <c r="G19" s="75"/>
      <c r="H19" s="12"/>
      <c r="I19" s="12"/>
      <c r="J19"/>
      <c r="K19" s="31">
        <f>$Q$57</f>
        <v>7900</v>
      </c>
      <c r="M19" s="20"/>
      <c r="N19" s="28" t="s">
        <v>14</v>
      </c>
      <c r="O19" s="28"/>
      <c r="P19" s="33"/>
      <c r="Q19" s="34">
        <f>SUM(Q13:Q18)</f>
        <v>2726800</v>
      </c>
      <c r="R19" s="24"/>
    </row>
    <row r="20" spans="1:19" s="13" customFormat="1">
      <c r="A20" s="12"/>
      <c r="B20" s="71"/>
      <c r="C20" s="71"/>
      <c r="D20" s="71"/>
      <c r="E20" s="71"/>
      <c r="F20" s="71"/>
      <c r="G20" s="75"/>
      <c r="H20" s="12"/>
      <c r="I20" s="12"/>
      <c r="J20"/>
      <c r="K20" s="36">
        <f>$P$108</f>
        <v>582941.5</v>
      </c>
      <c r="M20" s="20"/>
      <c r="N20" s="20"/>
      <c r="O20" s="20"/>
      <c r="P20" s="20"/>
      <c r="Q20" s="20"/>
      <c r="R20" s="24"/>
    </row>
    <row r="21" spans="1:19" s="13" customFormat="1">
      <c r="A21" s="12"/>
      <c r="B21" s="75"/>
      <c r="C21" s="72" t="s">
        <v>15</v>
      </c>
      <c r="D21" s="72"/>
      <c r="E21" s="84"/>
      <c r="F21" s="75"/>
      <c r="G21" s="71"/>
      <c r="H21" s="12"/>
      <c r="I21" s="12"/>
      <c r="J21"/>
      <c r="K21" s="31">
        <f>$P$70</f>
        <v>45500</v>
      </c>
      <c r="M21" s="24"/>
      <c r="N21" s="21" t="s">
        <v>15</v>
      </c>
      <c r="O21" s="21"/>
      <c r="P21" s="35"/>
      <c r="Q21" s="24"/>
      <c r="R21" s="20"/>
    </row>
    <row r="22" spans="1:19" s="13" customFormat="1">
      <c r="A22" s="12"/>
      <c r="B22" s="71"/>
      <c r="C22" s="76" t="s">
        <v>16</v>
      </c>
      <c r="D22" s="72"/>
      <c r="E22" s="73"/>
      <c r="F22" s="74"/>
      <c r="G22" s="75"/>
      <c r="H22" s="12"/>
      <c r="I22" s="12"/>
      <c r="J22"/>
      <c r="K22" s="31">
        <f>$P$64</f>
        <v>113750</v>
      </c>
      <c r="M22" s="20"/>
      <c r="N22" s="25" t="s">
        <v>16</v>
      </c>
      <c r="O22" s="21"/>
      <c r="P22" s="22"/>
      <c r="Q22" s="23"/>
      <c r="R22" s="24"/>
    </row>
    <row r="23" spans="1:19" s="13" customFormat="1">
      <c r="A23" s="12"/>
      <c r="B23" s="75"/>
      <c r="C23" s="77" t="s">
        <v>17</v>
      </c>
      <c r="D23" s="78"/>
      <c r="E23" s="74">
        <f>P23</f>
        <v>102000</v>
      </c>
      <c r="F23" s="85"/>
      <c r="G23" s="71"/>
      <c r="H23" s="12"/>
      <c r="I23" s="12"/>
      <c r="M23" s="24"/>
      <c r="N23" s="27" t="s">
        <v>17</v>
      </c>
      <c r="O23" s="28"/>
      <c r="P23" s="23">
        <f>ROUND(P12*0.4,-3)</f>
        <v>102000</v>
      </c>
      <c r="Q23" s="37"/>
      <c r="R23" s="20"/>
    </row>
    <row r="24" spans="1:19" s="13" customFormat="1">
      <c r="A24" s="12"/>
      <c r="B24" s="75"/>
      <c r="C24" s="77" t="s">
        <v>18</v>
      </c>
      <c r="D24" s="78"/>
      <c r="E24" s="79">
        <f>P24</f>
        <v>10000</v>
      </c>
      <c r="F24" s="74">
        <f>SUM(E23:E24)</f>
        <v>112000</v>
      </c>
      <c r="G24" s="71"/>
      <c r="H24" s="12"/>
      <c r="I24" s="12"/>
      <c r="M24" s="24"/>
      <c r="N24" s="27" t="s">
        <v>18</v>
      </c>
      <c r="O24" s="28"/>
      <c r="P24" s="29">
        <f>ROUND(P23*0.1,-3)</f>
        <v>10000</v>
      </c>
      <c r="Q24" s="23">
        <f>SUM(P23:P24)</f>
        <v>112000</v>
      </c>
      <c r="R24" s="20"/>
    </row>
    <row r="25" spans="1:19" s="13" customFormat="1">
      <c r="A25" s="12"/>
      <c r="B25" s="71"/>
      <c r="C25" s="76" t="s">
        <v>19</v>
      </c>
      <c r="D25" s="72"/>
      <c r="E25" s="73"/>
      <c r="F25" s="74"/>
      <c r="G25" s="75"/>
      <c r="H25" s="12"/>
      <c r="I25" s="12"/>
      <c r="M25" s="20"/>
      <c r="N25" s="25" t="s">
        <v>19</v>
      </c>
      <c r="O25" s="21"/>
      <c r="P25" s="22"/>
      <c r="Q25" s="23"/>
      <c r="R25" s="24"/>
    </row>
    <row r="26" spans="1:19" s="13" customFormat="1">
      <c r="A26" s="12"/>
      <c r="B26" s="75"/>
      <c r="C26" s="77" t="s">
        <v>20</v>
      </c>
      <c r="D26" s="78"/>
      <c r="E26" s="74"/>
      <c r="F26" s="79">
        <f>Q26</f>
        <v>696000</v>
      </c>
      <c r="G26" s="71"/>
      <c r="H26" s="12"/>
      <c r="I26" s="12"/>
      <c r="M26" s="24"/>
      <c r="N26" s="27" t="s">
        <v>20</v>
      </c>
      <c r="O26" s="28"/>
      <c r="P26" s="23"/>
      <c r="Q26" s="29">
        <f>ROUND(Y13*3/4,-3)</f>
        <v>696000</v>
      </c>
      <c r="R26" s="20"/>
    </row>
    <row r="27" spans="1:19" s="13" customFormat="1">
      <c r="A27" s="12"/>
      <c r="B27" s="75"/>
      <c r="C27" s="78" t="s">
        <v>21</v>
      </c>
      <c r="D27" s="78"/>
      <c r="E27" s="81"/>
      <c r="F27" s="74">
        <f>F24+F26</f>
        <v>808000</v>
      </c>
      <c r="G27" s="71"/>
      <c r="H27" s="12"/>
      <c r="I27" s="12"/>
      <c r="M27" s="24"/>
      <c r="N27" s="28" t="s">
        <v>21</v>
      </c>
      <c r="O27" s="28"/>
      <c r="P27" s="30"/>
      <c r="Q27" s="23">
        <f>Q24+Q26</f>
        <v>808000</v>
      </c>
      <c r="R27" s="20"/>
    </row>
    <row r="28" spans="1:19" s="13" customFormat="1">
      <c r="A28" s="12"/>
      <c r="B28" s="75"/>
      <c r="C28" s="78"/>
      <c r="D28" s="78"/>
      <c r="E28" s="81"/>
      <c r="F28" s="74"/>
      <c r="G28" s="71"/>
      <c r="H28" s="12"/>
      <c r="I28" s="12"/>
      <c r="M28" s="24"/>
      <c r="N28" s="28"/>
      <c r="O28" s="28"/>
      <c r="P28" s="30"/>
      <c r="Q28" s="23"/>
      <c r="R28" s="20"/>
    </row>
    <row r="29" spans="1:19" s="13" customFormat="1">
      <c r="A29" s="12"/>
      <c r="B29" s="75"/>
      <c r="C29" s="72" t="s">
        <v>22</v>
      </c>
      <c r="D29" s="72"/>
      <c r="E29" s="81"/>
      <c r="F29" s="74"/>
      <c r="G29" s="71"/>
      <c r="H29" s="12"/>
      <c r="I29" s="12"/>
      <c r="M29" s="24"/>
      <c r="N29" s="21" t="s">
        <v>22</v>
      </c>
      <c r="O29" s="21"/>
      <c r="P29" s="30"/>
      <c r="Q29" s="23"/>
      <c r="R29" s="20"/>
    </row>
    <row r="30" spans="1:19" s="13" customFormat="1">
      <c r="A30" s="12"/>
      <c r="B30" s="75"/>
      <c r="C30" s="77" t="s">
        <v>23</v>
      </c>
      <c r="D30" s="78"/>
      <c r="E30" s="74">
        <f>F33-E31-F27</f>
        <v>1478800</v>
      </c>
      <c r="F30" s="86"/>
      <c r="G30" s="71"/>
      <c r="H30" s="12"/>
      <c r="I30" s="12"/>
      <c r="M30" s="24"/>
      <c r="N30" s="27" t="s">
        <v>23</v>
      </c>
      <c r="O30" s="28"/>
      <c r="P30" s="23">
        <f>Q33-P31-Q27</f>
        <v>1478800</v>
      </c>
      <c r="Q30" s="38"/>
      <c r="R30" s="20"/>
      <c r="S30" s="13" t="s">
        <v>76</v>
      </c>
    </row>
    <row r="31" spans="1:19" s="13" customFormat="1">
      <c r="A31" s="12"/>
      <c r="B31" s="75"/>
      <c r="C31" s="77" t="s">
        <v>24</v>
      </c>
      <c r="D31" s="78"/>
      <c r="E31" s="79">
        <f>P31</f>
        <v>440000</v>
      </c>
      <c r="F31" s="86"/>
      <c r="G31" s="71"/>
      <c r="H31" s="12"/>
      <c r="I31" s="12"/>
      <c r="M31" s="24"/>
      <c r="N31" s="27" t="s">
        <v>24</v>
      </c>
      <c r="O31" s="28"/>
      <c r="P31" s="29">
        <v>440000</v>
      </c>
      <c r="Q31" s="38"/>
      <c r="R31" s="20"/>
    </row>
    <row r="32" spans="1:19" s="13" customFormat="1">
      <c r="A32" s="12"/>
      <c r="B32" s="75"/>
      <c r="C32" s="78" t="s">
        <v>25</v>
      </c>
      <c r="D32" s="78"/>
      <c r="E32" s="85"/>
      <c r="F32" s="79">
        <f>SUM(E30:E31)</f>
        <v>1918800</v>
      </c>
      <c r="G32" s="71"/>
      <c r="H32" s="12"/>
      <c r="I32" s="12"/>
      <c r="M32" s="24"/>
      <c r="N32" s="28" t="s">
        <v>25</v>
      </c>
      <c r="O32" s="28"/>
      <c r="P32" s="37"/>
      <c r="Q32" s="29">
        <f>SUM(P30:P31)</f>
        <v>1918800</v>
      </c>
      <c r="R32" s="20"/>
    </row>
    <row r="33" spans="1:20" s="13" customFormat="1">
      <c r="A33" s="12"/>
      <c r="B33" s="75"/>
      <c r="C33" s="78" t="s">
        <v>26</v>
      </c>
      <c r="D33" s="78"/>
      <c r="E33" s="85"/>
      <c r="F33" s="83">
        <f>F19</f>
        <v>2726800</v>
      </c>
      <c r="G33" s="71"/>
      <c r="H33" s="12"/>
      <c r="I33" s="12"/>
      <c r="M33" s="24"/>
      <c r="N33" s="28" t="s">
        <v>26</v>
      </c>
      <c r="O33" s="28"/>
      <c r="P33" s="37"/>
      <c r="Q33" s="34">
        <f>Q19</f>
        <v>2726800</v>
      </c>
      <c r="R33" s="20"/>
    </row>
    <row r="34" spans="1:20" s="13" customFormat="1">
      <c r="A34" s="12"/>
      <c r="B34" s="71"/>
      <c r="C34" s="71"/>
      <c r="D34" s="71"/>
      <c r="E34" s="71"/>
      <c r="F34" s="87"/>
      <c r="G34" s="71"/>
      <c r="H34" s="12"/>
      <c r="I34" s="12"/>
      <c r="M34" s="20"/>
      <c r="N34" s="20"/>
      <c r="O34" s="20"/>
      <c r="P34" s="20"/>
      <c r="Q34" s="39"/>
      <c r="R34" s="20"/>
    </row>
    <row r="35" spans="1:20" s="13" customFormat="1">
      <c r="A35" s="12"/>
      <c r="B35" s="69"/>
      <c r="C35" s="69"/>
      <c r="D35" s="69"/>
      <c r="E35" s="69"/>
      <c r="F35" s="69"/>
      <c r="G35" s="69"/>
      <c r="H35" s="12"/>
      <c r="I35" s="12"/>
      <c r="M35" s="40"/>
      <c r="N35" s="40"/>
      <c r="O35" s="40"/>
      <c r="P35" s="40"/>
      <c r="Q35" s="40"/>
      <c r="R35" s="40"/>
    </row>
    <row r="36" spans="1:20">
      <c r="B36" s="41"/>
      <c r="C36" s="41"/>
      <c r="D36" s="41"/>
      <c r="E36" s="41"/>
      <c r="F36" s="41"/>
      <c r="G36" s="41"/>
      <c r="M36" s="41"/>
      <c r="N36" s="41"/>
      <c r="O36" s="41"/>
      <c r="P36" s="41"/>
      <c r="Q36" s="41"/>
      <c r="R36" s="41"/>
    </row>
    <row r="37" spans="1:20" ht="61.5" customHeight="1">
      <c r="A37" s="4" t="s">
        <v>42</v>
      </c>
      <c r="B37" s="112" t="str">
        <f>M37</f>
        <v>Prepare the necessary entries for the following events occuring during 20X2 related to the Brown Corporation AFS securities assuming that Enter Name Here Corporation initially purchased the debt securities for $395,000.</v>
      </c>
      <c r="C37" s="112"/>
      <c r="D37" s="112"/>
      <c r="E37" s="112"/>
      <c r="F37" s="112"/>
      <c r="G37" s="112"/>
      <c r="L37" s="12" t="s">
        <v>42</v>
      </c>
      <c r="M37" s="112" t="str">
        <f>CONCATENATE("Prepare the necessary entries for the following events occuring during 20X2 related to the Brown Corporation AFS securities assuming that ",Identification!$B$1," Corporation initially purchased the debt securities for ",TEXT($Y$9,"$#,##0"), ".")</f>
        <v>Prepare the necessary entries for the following events occuring during 20X2 related to the Brown Corporation AFS securities assuming that Enter Name Here Corporation initially purchased the debt securities for $395,000.</v>
      </c>
      <c r="N37" s="112"/>
      <c r="O37" s="112"/>
      <c r="P37" s="112"/>
      <c r="Q37" s="112"/>
      <c r="R37" s="112"/>
    </row>
    <row r="38" spans="1:20" ht="12.75" customHeight="1">
      <c r="B38" s="41"/>
      <c r="C38" s="41"/>
      <c r="D38" s="41"/>
      <c r="E38" s="41"/>
      <c r="F38" s="41"/>
      <c r="G38" s="41"/>
      <c r="M38" s="41"/>
      <c r="N38" s="41"/>
      <c r="O38" s="41"/>
      <c r="P38" s="41"/>
      <c r="Q38" s="41"/>
      <c r="R38" s="41"/>
    </row>
    <row r="39" spans="1:20" s="44" customFormat="1" ht="27" customHeight="1">
      <c r="A39" s="1" t="s">
        <v>44</v>
      </c>
      <c r="B39" s="1"/>
      <c r="C39" s="1" t="s">
        <v>45</v>
      </c>
      <c r="D39" s="1"/>
      <c r="E39" s="1" t="s">
        <v>46</v>
      </c>
      <c r="F39" s="1" t="s">
        <v>47</v>
      </c>
      <c r="G39" s="42"/>
      <c r="H39" s="12"/>
      <c r="I39" s="12"/>
      <c r="J39" s="13"/>
      <c r="K39" s="13"/>
      <c r="L39" s="1" t="s">
        <v>44</v>
      </c>
      <c r="M39" s="1"/>
      <c r="N39" s="1" t="s">
        <v>45</v>
      </c>
      <c r="O39" s="1"/>
      <c r="P39" s="1" t="s">
        <v>46</v>
      </c>
      <c r="Q39" s="1" t="s">
        <v>47</v>
      </c>
      <c r="R39" s="43"/>
      <c r="S39" s="13"/>
      <c r="T39" s="13"/>
    </row>
    <row r="40" spans="1:20" s="44" customFormat="1" ht="27" customHeight="1">
      <c r="A40" s="106" t="s">
        <v>48</v>
      </c>
      <c r="B40" s="41"/>
      <c r="C40" s="99"/>
      <c r="D40" s="41"/>
      <c r="E40" s="101"/>
      <c r="F40" s="102"/>
      <c r="G40" s="41"/>
      <c r="H40" s="12"/>
      <c r="I40" s="12"/>
      <c r="J40" s="13" t="str">
        <f>IF(N40=C40,"Correct","Incorrect")</f>
        <v>Incorrect</v>
      </c>
      <c r="K40" s="13" t="str">
        <f>IF(P40=E40,"Correct","Incorrect")</f>
        <v>Incorrect</v>
      </c>
      <c r="L40" s="45" t="s">
        <v>48</v>
      </c>
      <c r="M40" s="46"/>
      <c r="N40" s="47" t="s">
        <v>82</v>
      </c>
      <c r="O40" s="46"/>
      <c r="P40" s="48">
        <f>W9</f>
        <v>19750</v>
      </c>
      <c r="Q40" s="46"/>
      <c r="R40" s="46"/>
      <c r="S40" s="13"/>
      <c r="T40" s="13"/>
    </row>
    <row r="41" spans="1:20" s="44" customFormat="1" ht="27" customHeight="1">
      <c r="A41" s="12"/>
      <c r="B41" s="41"/>
      <c r="C41" s="100"/>
      <c r="D41" s="41"/>
      <c r="E41" s="102"/>
      <c r="F41" s="101"/>
      <c r="G41" s="41"/>
      <c r="H41" s="12"/>
      <c r="I41" s="12"/>
      <c r="J41" s="13" t="str">
        <f>IF(N41=C41,"Correct","Incorrect")</f>
        <v>Incorrect</v>
      </c>
      <c r="K41" s="13" t="str">
        <f>IF(Q41=F41,"Correct","Incorrect")</f>
        <v>Incorrect</v>
      </c>
      <c r="M41" s="46"/>
      <c r="N41" s="49" t="s">
        <v>78</v>
      </c>
      <c r="O41" s="46"/>
      <c r="P41" s="46"/>
      <c r="Q41" s="50">
        <f>P40</f>
        <v>19750</v>
      </c>
      <c r="R41" s="46"/>
      <c r="S41" s="13"/>
      <c r="T41" s="13"/>
    </row>
    <row r="42" spans="1:20" s="44" customFormat="1" ht="9" customHeight="1" thickBot="1">
      <c r="A42" s="12"/>
      <c r="B42" s="41"/>
      <c r="C42" s="41"/>
      <c r="D42" s="41"/>
      <c r="E42" s="41"/>
      <c r="F42" s="46"/>
      <c r="G42" s="41"/>
      <c r="H42" s="12"/>
      <c r="I42" s="12"/>
      <c r="J42" s="13"/>
      <c r="K42" s="13"/>
      <c r="M42" s="46"/>
      <c r="N42" s="46"/>
      <c r="O42" s="46"/>
      <c r="P42" s="46"/>
      <c r="Q42" s="46"/>
      <c r="R42" s="46"/>
      <c r="S42" s="13"/>
      <c r="T42" s="13"/>
    </row>
    <row r="43" spans="1:20" s="44" customFormat="1" ht="43.5" customHeight="1" thickBot="1">
      <c r="A43" s="12"/>
      <c r="B43" s="115" t="str">
        <f>M43</f>
        <v>On March 15, 20X2 the price of Brown Corporation debt securities dropped $19,750.</v>
      </c>
      <c r="C43" s="116"/>
      <c r="D43" s="116"/>
      <c r="E43" s="116"/>
      <c r="F43" s="117"/>
      <c r="G43" s="51"/>
      <c r="H43" s="12"/>
      <c r="I43" s="12"/>
      <c r="J43" s="13"/>
      <c r="K43" s="13"/>
      <c r="M43" s="115" t="str">
        <f>CONCATENATE("On March 15, 20X2 the price of Brown Corporation debt securities dropped ",TEXT($W$9,"$#,##0"),".")</f>
        <v>On March 15, 20X2 the price of Brown Corporation debt securities dropped $19,750.</v>
      </c>
      <c r="N43" s="116"/>
      <c r="O43" s="116"/>
      <c r="P43" s="116"/>
      <c r="Q43" s="117"/>
      <c r="R43" s="52"/>
      <c r="S43" s="13"/>
      <c r="T43" s="13"/>
    </row>
    <row r="44" spans="1:20" s="44" customFormat="1">
      <c r="A44" s="12"/>
      <c r="B44" s="41"/>
      <c r="C44" s="41"/>
      <c r="D44" s="41"/>
      <c r="E44" s="41"/>
      <c r="F44" s="41"/>
      <c r="G44" s="41"/>
      <c r="H44" s="12"/>
      <c r="I44" s="12"/>
      <c r="J44" s="13"/>
      <c r="K44" s="13"/>
      <c r="M44" s="46"/>
      <c r="N44" s="46"/>
      <c r="O44" s="46"/>
      <c r="P44" s="46"/>
      <c r="Q44" s="46"/>
      <c r="R44" s="46"/>
      <c r="S44" s="13"/>
      <c r="T44" s="13"/>
    </row>
    <row r="45" spans="1:20" s="44" customFormat="1" ht="27" customHeight="1">
      <c r="A45" s="1" t="s">
        <v>44</v>
      </c>
      <c r="B45" s="1"/>
      <c r="C45" s="1" t="s">
        <v>45</v>
      </c>
      <c r="D45" s="1"/>
      <c r="E45" s="1" t="s">
        <v>46</v>
      </c>
      <c r="F45" s="1" t="s">
        <v>47</v>
      </c>
      <c r="G45" s="42"/>
      <c r="H45" s="12"/>
      <c r="I45" s="103"/>
      <c r="J45" s="13"/>
      <c r="K45" s="13"/>
      <c r="L45" s="1" t="s">
        <v>44</v>
      </c>
      <c r="M45" s="1"/>
      <c r="N45" s="1" t="s">
        <v>45</v>
      </c>
      <c r="O45" s="1"/>
      <c r="P45" s="1" t="s">
        <v>46</v>
      </c>
      <c r="Q45" s="1" t="s">
        <v>47</v>
      </c>
      <c r="R45" s="43"/>
      <c r="S45" s="13"/>
      <c r="T45" s="13"/>
    </row>
    <row r="46" spans="1:20" s="44" customFormat="1" ht="27" customHeight="1">
      <c r="A46" s="106" t="s">
        <v>49</v>
      </c>
      <c r="B46" s="41"/>
      <c r="C46" s="99"/>
      <c r="D46" s="41"/>
      <c r="E46" s="101"/>
      <c r="F46" s="102"/>
      <c r="G46" s="41"/>
      <c r="H46" s="12"/>
      <c r="I46" s="12"/>
      <c r="J46" s="13" t="str">
        <f>IF(N46=C46,"Correct","Incorrect")</f>
        <v>Incorrect</v>
      </c>
      <c r="K46" s="13" t="str">
        <f>IF(P46=E46,"Correct","Incorrect")</f>
        <v>Incorrect</v>
      </c>
      <c r="L46" s="45" t="s">
        <v>49</v>
      </c>
      <c r="M46" s="46"/>
      <c r="N46" s="53" t="s">
        <v>78</v>
      </c>
      <c r="O46" s="46"/>
      <c r="P46" s="50">
        <f>V9</f>
        <v>59250</v>
      </c>
      <c r="Q46" s="46"/>
      <c r="R46" s="46"/>
      <c r="S46" s="13"/>
      <c r="T46" s="13"/>
    </row>
    <row r="47" spans="1:20" s="44" customFormat="1" ht="27" customHeight="1">
      <c r="A47" s="12"/>
      <c r="B47" s="41"/>
      <c r="C47" s="100"/>
      <c r="D47" s="41"/>
      <c r="E47" s="102"/>
      <c r="F47" s="101"/>
      <c r="G47" s="41"/>
      <c r="H47" s="12"/>
      <c r="I47" s="12"/>
      <c r="J47" s="13" t="str">
        <f>IF(N47=C47,"Correct","Incorrect")</f>
        <v>Incorrect</v>
      </c>
      <c r="K47" s="13" t="str">
        <f>IF(Q47=F47,"Correct","Incorrect")</f>
        <v>Incorrect</v>
      </c>
      <c r="M47" s="46"/>
      <c r="N47" s="49" t="s">
        <v>83</v>
      </c>
      <c r="O47" s="46"/>
      <c r="P47" s="46"/>
      <c r="Q47" s="50">
        <f>P46</f>
        <v>59250</v>
      </c>
      <c r="R47" s="46"/>
      <c r="S47" s="13"/>
      <c r="T47" s="13"/>
    </row>
    <row r="48" spans="1:20" s="44" customFormat="1" ht="11.25" customHeight="1" thickBot="1">
      <c r="A48" s="12"/>
      <c r="B48" s="41"/>
      <c r="C48" s="41"/>
      <c r="D48" s="41"/>
      <c r="E48" s="41"/>
      <c r="F48" s="41"/>
      <c r="G48" s="41"/>
      <c r="H48" s="12"/>
      <c r="I48" s="12"/>
      <c r="J48" s="13"/>
      <c r="K48" s="13"/>
      <c r="M48" s="46"/>
      <c r="N48" s="46"/>
      <c r="O48" s="46"/>
      <c r="P48" s="46"/>
      <c r="Q48" s="46"/>
      <c r="R48" s="46"/>
      <c r="S48" s="13"/>
      <c r="T48" s="13"/>
    </row>
    <row r="49" spans="1:20" s="44" customFormat="1" ht="37.5" customHeight="1" thickBot="1">
      <c r="A49" s="12"/>
      <c r="B49" s="115" t="str">
        <f>M49</f>
        <v>On July 1, 20X2 the price of Brown Corporation debt securities increased $59,250.</v>
      </c>
      <c r="C49" s="116"/>
      <c r="D49" s="116"/>
      <c r="E49" s="116"/>
      <c r="F49" s="117"/>
      <c r="G49" s="54"/>
      <c r="H49" s="12"/>
      <c r="I49" s="12"/>
      <c r="J49" s="13"/>
      <c r="K49" s="13"/>
      <c r="M49" s="115" t="str">
        <f>CONCATENATE("On July 1, 20X2 the price of Brown Corporation debt securities increased ",TEXT($V$9,"$#,##0"),".")</f>
        <v>On July 1, 20X2 the price of Brown Corporation debt securities increased $59,250.</v>
      </c>
      <c r="N49" s="116"/>
      <c r="O49" s="116"/>
      <c r="P49" s="116"/>
      <c r="Q49" s="117"/>
      <c r="R49" s="55"/>
      <c r="S49" s="13"/>
      <c r="T49" s="13"/>
    </row>
    <row r="50" spans="1:20" s="44" customFormat="1">
      <c r="A50" s="12"/>
      <c r="B50" s="41"/>
      <c r="C50" s="41"/>
      <c r="D50" s="41"/>
      <c r="E50" s="41"/>
      <c r="F50" s="41"/>
      <c r="G50" s="41"/>
      <c r="H50" s="12"/>
      <c r="I50" s="12"/>
      <c r="J50" s="13"/>
      <c r="K50" s="13"/>
      <c r="M50" s="46"/>
      <c r="N50" s="46"/>
      <c r="O50" s="46"/>
      <c r="P50" s="46"/>
      <c r="Q50" s="46"/>
      <c r="R50" s="46"/>
      <c r="S50" s="13"/>
      <c r="T50" s="13"/>
    </row>
    <row r="51" spans="1:20" s="44" customFormat="1" ht="27" customHeight="1">
      <c r="A51" s="1" t="s">
        <v>44</v>
      </c>
      <c r="B51" s="1"/>
      <c r="C51" s="1" t="s">
        <v>45</v>
      </c>
      <c r="D51" s="1"/>
      <c r="E51" s="1" t="s">
        <v>46</v>
      </c>
      <c r="F51" s="1" t="s">
        <v>47</v>
      </c>
      <c r="G51" s="42"/>
      <c r="H51" s="12"/>
      <c r="I51" s="12"/>
      <c r="J51" s="13"/>
      <c r="K51" s="13"/>
      <c r="L51" s="1" t="s">
        <v>44</v>
      </c>
      <c r="M51" s="1"/>
      <c r="N51" s="1" t="s">
        <v>45</v>
      </c>
      <c r="O51" s="1"/>
      <c r="P51" s="1" t="s">
        <v>46</v>
      </c>
      <c r="Q51" s="1" t="s">
        <v>47</v>
      </c>
      <c r="R51" s="43"/>
      <c r="S51" s="13"/>
      <c r="T51" s="13"/>
    </row>
    <row r="52" spans="1:20" s="44" customFormat="1" ht="27" customHeight="1">
      <c r="A52" s="105" t="s">
        <v>50</v>
      </c>
      <c r="B52" s="41"/>
      <c r="C52" s="99"/>
      <c r="D52" s="41"/>
      <c r="E52" s="101"/>
      <c r="F52" s="102"/>
      <c r="G52" s="41"/>
      <c r="H52" s="12"/>
      <c r="I52" s="12"/>
      <c r="J52" s="13" t="str">
        <f>IF(N52=C52,"Correct","Incorrect")</f>
        <v>Incorrect</v>
      </c>
      <c r="K52" s="13" t="str">
        <f>IF(P52=E52,"Correct","Incorrect")</f>
        <v>Incorrect</v>
      </c>
      <c r="L52" s="56" t="s">
        <v>50</v>
      </c>
      <c r="M52" s="46"/>
      <c r="N52" s="47" t="s">
        <v>82</v>
      </c>
      <c r="O52" s="46"/>
      <c r="P52" s="50">
        <f>U9</f>
        <v>31600</v>
      </c>
      <c r="Q52" s="46"/>
      <c r="R52" s="46"/>
      <c r="S52" s="13"/>
      <c r="T52" s="13"/>
    </row>
    <row r="53" spans="1:20" s="44" customFormat="1" ht="27" customHeight="1">
      <c r="A53" s="12"/>
      <c r="B53" s="41"/>
      <c r="C53" s="100"/>
      <c r="D53" s="41"/>
      <c r="E53" s="102"/>
      <c r="F53" s="101"/>
      <c r="G53" s="41"/>
      <c r="H53" s="12"/>
      <c r="I53" s="12"/>
      <c r="J53" s="13" t="str">
        <f>IF(N53=C53,"Correct","Incorrect")</f>
        <v>Incorrect</v>
      </c>
      <c r="K53" s="13" t="str">
        <f>IF(Q53=F53,"Correct","Incorrect")</f>
        <v>Incorrect</v>
      </c>
      <c r="M53" s="46"/>
      <c r="N53" s="49" t="s">
        <v>78</v>
      </c>
      <c r="O53" s="46"/>
      <c r="P53" s="46"/>
      <c r="Q53" s="50">
        <f>P52</f>
        <v>31600</v>
      </c>
      <c r="R53" s="46"/>
      <c r="S53" s="13"/>
      <c r="T53" s="13"/>
    </row>
    <row r="54" spans="1:20" s="44" customFormat="1" ht="11.25" customHeight="1" thickBot="1">
      <c r="A54" s="12"/>
      <c r="B54" s="41"/>
      <c r="C54" s="41"/>
      <c r="D54" s="41"/>
      <c r="E54" s="41"/>
      <c r="F54" s="41"/>
      <c r="G54" s="41"/>
      <c r="H54" s="12"/>
      <c r="I54" s="12"/>
      <c r="J54" s="13"/>
      <c r="K54" s="13"/>
      <c r="M54" s="46"/>
      <c r="N54" s="46"/>
      <c r="O54" s="46"/>
      <c r="P54" s="46"/>
      <c r="Q54" s="46"/>
      <c r="R54" s="46"/>
      <c r="S54" s="13"/>
      <c r="T54" s="13"/>
    </row>
    <row r="55" spans="1:20" s="44" customFormat="1" ht="37.5" customHeight="1" thickBot="1">
      <c r="A55" s="12"/>
      <c r="B55" s="118" t="str">
        <f>M55</f>
        <v>On October 11, 20X2 the price of Brown Corporation debt securities dropped $31,600.</v>
      </c>
      <c r="C55" s="119"/>
      <c r="D55" s="119"/>
      <c r="E55" s="119"/>
      <c r="F55" s="120"/>
      <c r="G55" s="54"/>
      <c r="H55" s="12"/>
      <c r="I55" s="12"/>
      <c r="J55" s="13"/>
      <c r="K55" s="13"/>
      <c r="M55" s="115" t="str">
        <f>CONCATENATE("On October 11, 20X2 the price of Brown Corporation debt securities dropped ",TEXT($U$9,"$#,##0"), ".")</f>
        <v>On October 11, 20X2 the price of Brown Corporation debt securities dropped $31,600.</v>
      </c>
      <c r="N55" s="116"/>
      <c r="O55" s="116"/>
      <c r="P55" s="116"/>
      <c r="Q55" s="117"/>
      <c r="R55" s="55"/>
      <c r="S55" s="13"/>
      <c r="T55" s="13"/>
    </row>
    <row r="56" spans="1:20" s="44" customFormat="1" ht="15.75" thickBot="1">
      <c r="A56" s="12"/>
      <c r="B56" s="41"/>
      <c r="C56" s="41"/>
      <c r="D56" s="41"/>
      <c r="E56" s="41"/>
      <c r="F56" s="41"/>
      <c r="G56" s="41"/>
      <c r="H56" s="12"/>
      <c r="I56" s="12"/>
      <c r="J56" s="13"/>
      <c r="K56" s="13"/>
      <c r="M56" s="46"/>
      <c r="N56" s="46"/>
      <c r="O56" s="46"/>
      <c r="P56" s="46"/>
      <c r="Q56" s="46"/>
      <c r="R56" s="46"/>
      <c r="S56" s="13"/>
      <c r="T56" s="13"/>
    </row>
    <row r="57" spans="1:20" s="44" customFormat="1" ht="50.25" customHeight="1" thickBot="1">
      <c r="A57" s="4" t="s">
        <v>51</v>
      </c>
      <c r="B57" s="126" t="s">
        <v>79</v>
      </c>
      <c r="C57" s="126"/>
      <c r="D57" s="126"/>
      <c r="E57" s="57"/>
      <c r="F57" s="97"/>
      <c r="G57" s="41"/>
      <c r="H57" s="12"/>
      <c r="I57" s="12"/>
      <c r="J57" s="13"/>
      <c r="K57" s="13" t="str">
        <f>IF(Q57=F57,"Correct","Incorrect")</f>
        <v>Incorrect</v>
      </c>
      <c r="L57" s="44" t="s">
        <v>51</v>
      </c>
      <c r="M57" s="125" t="s">
        <v>79</v>
      </c>
      <c r="N57" s="125"/>
      <c r="O57" s="125"/>
      <c r="P57" s="58"/>
      <c r="Q57" s="59">
        <f>Q47-P40-P52</f>
        <v>7900</v>
      </c>
      <c r="R57" s="58"/>
      <c r="S57" s="13"/>
      <c r="T57" s="13"/>
    </row>
    <row r="58" spans="1:20" s="44" customFormat="1" ht="15.75" thickBot="1">
      <c r="A58" s="12"/>
      <c r="B58" s="41"/>
      <c r="C58" s="41"/>
      <c r="D58" s="41"/>
      <c r="E58" s="41"/>
      <c r="F58" s="41"/>
      <c r="G58" s="41"/>
      <c r="H58" s="12"/>
      <c r="I58" s="12"/>
      <c r="J58" s="13"/>
      <c r="K58" s="13"/>
      <c r="M58" s="46"/>
      <c r="N58" s="46"/>
      <c r="O58" s="46"/>
      <c r="P58" s="46"/>
      <c r="Q58" s="46"/>
      <c r="R58" s="46"/>
      <c r="S58" s="13"/>
      <c r="T58" s="13"/>
    </row>
    <row r="59" spans="1:20" s="44" customFormat="1" ht="50.25" customHeight="1" thickBot="1">
      <c r="A59" s="4" t="s">
        <v>63</v>
      </c>
      <c r="B59" s="126" t="s">
        <v>84</v>
      </c>
      <c r="C59" s="126"/>
      <c r="D59" s="126"/>
      <c r="E59" s="57"/>
      <c r="F59" s="104"/>
      <c r="G59" s="41"/>
      <c r="H59" s="12"/>
      <c r="I59" s="12"/>
      <c r="J59" s="13"/>
      <c r="K59" s="13" t="str">
        <f>IF(Q59=F59,"Correct","Incorrect")</f>
        <v>Incorrect</v>
      </c>
      <c r="L59" s="44" t="s">
        <v>63</v>
      </c>
      <c r="M59" s="125" t="s">
        <v>80</v>
      </c>
      <c r="N59" s="125"/>
      <c r="O59" s="125"/>
      <c r="P59" s="58"/>
      <c r="Q59" s="60">
        <f>P15-Q41+P46-Q53</f>
        <v>402900</v>
      </c>
      <c r="R59" s="58"/>
      <c r="S59" s="13"/>
      <c r="T59" s="13"/>
    </row>
    <row r="60" spans="1:20" s="44" customFormat="1" ht="15" customHeight="1">
      <c r="A60" s="12"/>
      <c r="B60" s="41"/>
      <c r="C60" s="41"/>
      <c r="D60" s="41"/>
      <c r="E60" s="41"/>
      <c r="F60" s="41"/>
      <c r="G60" s="41"/>
      <c r="H60" s="12"/>
      <c r="I60" s="12"/>
      <c r="J60" s="13"/>
      <c r="K60" s="13"/>
      <c r="M60" s="46"/>
      <c r="N60" s="46"/>
      <c r="O60" s="46"/>
      <c r="P60" s="46"/>
      <c r="Q60" s="46"/>
      <c r="R60" s="46"/>
      <c r="S60" s="13"/>
      <c r="T60" s="13"/>
    </row>
    <row r="61" spans="1:20" s="44" customFormat="1" ht="58.5" customHeight="1">
      <c r="A61" s="4" t="s">
        <v>64</v>
      </c>
      <c r="B61" s="112" t="str">
        <f>M61</f>
        <v>Prepare the necessary entries for the following events occuring during 20X2 related to the Machine Corporation investment assuming that Enter Name Here Corporation held 35% of Machine Coporation's outstanding stock.</v>
      </c>
      <c r="C61" s="112"/>
      <c r="D61" s="112"/>
      <c r="E61" s="112"/>
      <c r="F61" s="112"/>
      <c r="G61" s="112"/>
      <c r="H61" s="12"/>
      <c r="I61" s="12"/>
      <c r="J61" s="13"/>
      <c r="K61" s="13"/>
      <c r="L61" s="44" t="s">
        <v>64</v>
      </c>
      <c r="M61" s="122" t="str">
        <f>CONCATENATE("Prepare the necessary entries for the following events occuring during 20X2 related to the Machine Corporation investment assuming that ",Identification!$B$1," Corporation held ",TEXT($X$13,"#,##0%"), " of Machine Coporation's outstanding stock.")</f>
        <v>Prepare the necessary entries for the following events occuring during 20X2 related to the Machine Corporation investment assuming that Enter Name Here Corporation held 35% of Machine Coporation's outstanding stock.</v>
      </c>
      <c r="N61" s="122"/>
      <c r="O61" s="122"/>
      <c r="P61" s="122"/>
      <c r="Q61" s="122"/>
      <c r="R61" s="122"/>
      <c r="S61" s="13"/>
      <c r="T61" s="13"/>
    </row>
    <row r="62" spans="1:20" s="44" customFormat="1">
      <c r="A62" s="12"/>
      <c r="B62" s="41"/>
      <c r="C62" s="41"/>
      <c r="D62" s="41"/>
      <c r="E62" s="41"/>
      <c r="F62" s="41"/>
      <c r="G62" s="41"/>
      <c r="H62" s="12"/>
      <c r="I62" s="12"/>
      <c r="J62" s="13"/>
      <c r="K62" s="13"/>
      <c r="M62" s="46"/>
      <c r="N62" s="46"/>
      <c r="O62" s="46"/>
      <c r="P62" s="46"/>
      <c r="Q62" s="46"/>
      <c r="R62" s="46"/>
      <c r="S62" s="13"/>
      <c r="T62" s="13"/>
    </row>
    <row r="63" spans="1:20" s="44" customFormat="1" ht="27" customHeight="1">
      <c r="A63" s="1" t="s">
        <v>44</v>
      </c>
      <c r="B63" s="1"/>
      <c r="C63" s="1" t="s">
        <v>45</v>
      </c>
      <c r="D63" s="1"/>
      <c r="E63" s="1" t="s">
        <v>46</v>
      </c>
      <c r="F63" s="1" t="s">
        <v>47</v>
      </c>
      <c r="G63" s="42"/>
      <c r="H63" s="12"/>
      <c r="I63" s="12"/>
      <c r="J63" s="13"/>
      <c r="K63" s="13"/>
      <c r="L63" s="1" t="s">
        <v>44</v>
      </c>
      <c r="M63" s="1"/>
      <c r="N63" s="1" t="s">
        <v>45</v>
      </c>
      <c r="O63" s="1"/>
      <c r="P63" s="1" t="s">
        <v>46</v>
      </c>
      <c r="Q63" s="1" t="s">
        <v>47</v>
      </c>
      <c r="R63" s="43"/>
      <c r="S63" s="13"/>
      <c r="T63" s="13"/>
    </row>
    <row r="64" spans="1:20" s="44" customFormat="1" ht="27" customHeight="1">
      <c r="A64" s="106" t="s">
        <v>85</v>
      </c>
      <c r="B64" s="46"/>
      <c r="C64" s="99"/>
      <c r="D64" s="102"/>
      <c r="E64" s="107"/>
      <c r="F64" s="102"/>
      <c r="G64" s="41"/>
      <c r="H64" s="12"/>
      <c r="I64" s="12"/>
      <c r="J64" s="13" t="str">
        <f>IF(N64=C64,"Correct","Incorrect")</f>
        <v>Incorrect</v>
      </c>
      <c r="K64" s="13" t="str">
        <f>IF(P64=E64,"Correct","Incorrect")</f>
        <v>Incorrect</v>
      </c>
      <c r="L64" s="45" t="s">
        <v>85</v>
      </c>
      <c r="M64" s="46"/>
      <c r="N64" s="47" t="s">
        <v>61</v>
      </c>
      <c r="O64" s="46"/>
      <c r="P64" s="50">
        <f>ROUND(W13*X13,0)</f>
        <v>113750</v>
      </c>
      <c r="Q64" s="46"/>
      <c r="R64" s="46"/>
      <c r="S64" s="13"/>
      <c r="T64" s="13"/>
    </row>
    <row r="65" spans="1:20" s="44" customFormat="1" ht="27" customHeight="1">
      <c r="A65" s="12"/>
      <c r="B65" s="46"/>
      <c r="C65" s="100"/>
      <c r="D65" s="102"/>
      <c r="E65" s="102"/>
      <c r="F65" s="107"/>
      <c r="G65" s="41"/>
      <c r="H65" s="12"/>
      <c r="I65" s="12"/>
      <c r="J65" s="13" t="str">
        <f>IF(N65=C65,"Correct","Incorrect")</f>
        <v>Incorrect</v>
      </c>
      <c r="K65" s="13" t="str">
        <f>IF(Q65=F65,"Correct","Incorrect")</f>
        <v>Incorrect</v>
      </c>
      <c r="M65" s="46"/>
      <c r="N65" s="49" t="s">
        <v>62</v>
      </c>
      <c r="O65" s="46"/>
      <c r="P65" s="46"/>
      <c r="Q65" s="50">
        <f>P64</f>
        <v>113750</v>
      </c>
      <c r="R65" s="46"/>
      <c r="S65" s="13"/>
      <c r="T65" s="13"/>
    </row>
    <row r="66" spans="1:20" ht="9" customHeight="1" thickBot="1">
      <c r="B66" s="41"/>
      <c r="C66" s="41"/>
      <c r="D66" s="41"/>
      <c r="E66" s="41"/>
      <c r="F66" s="41"/>
      <c r="G66" s="41"/>
      <c r="M66" s="41"/>
      <c r="N66" s="41"/>
      <c r="O66" s="41"/>
      <c r="P66" s="41"/>
      <c r="Q66" s="41"/>
      <c r="R66" s="41"/>
    </row>
    <row r="67" spans="1:20" ht="43.5" customHeight="1" thickBot="1">
      <c r="B67" s="118" t="str">
        <f>M67</f>
        <v>On June 30, 20X2 Machine Corporation announced net income for the first half of the year  of  $325,000</v>
      </c>
      <c r="C67" s="119"/>
      <c r="D67" s="119"/>
      <c r="E67" s="119"/>
      <c r="F67" s="120"/>
      <c r="G67" s="51"/>
      <c r="M67" s="118" t="str">
        <f>CONCATENATE("On June 30, 20X2 Machine Corporation announced net income for the first half of the year  of  ",TEXT($W$13,"$#,###"))</f>
        <v>On June 30, 20X2 Machine Corporation announced net income for the first half of the year  of  $325,000</v>
      </c>
      <c r="N67" s="119"/>
      <c r="O67" s="119"/>
      <c r="P67" s="119"/>
      <c r="Q67" s="120"/>
      <c r="R67" s="51"/>
    </row>
    <row r="68" spans="1:20">
      <c r="B68" s="41"/>
      <c r="C68" s="41"/>
      <c r="D68" s="41"/>
      <c r="E68" s="41"/>
      <c r="F68" s="41"/>
      <c r="G68" s="41"/>
      <c r="M68" s="41"/>
      <c r="N68" s="41"/>
      <c r="O68" s="41"/>
      <c r="P68" s="41"/>
      <c r="Q68" s="41"/>
      <c r="R68" s="41"/>
    </row>
    <row r="69" spans="1:20" s="44" customFormat="1" ht="27" customHeight="1">
      <c r="A69" s="1" t="s">
        <v>44</v>
      </c>
      <c r="B69" s="1"/>
      <c r="C69" s="1" t="s">
        <v>45</v>
      </c>
      <c r="D69" s="1"/>
      <c r="E69" s="1" t="s">
        <v>46</v>
      </c>
      <c r="F69" s="1" t="s">
        <v>47</v>
      </c>
      <c r="G69" s="42"/>
      <c r="H69" s="12"/>
      <c r="I69" s="12"/>
      <c r="J69" s="13"/>
      <c r="K69" s="13"/>
      <c r="L69" s="1" t="s">
        <v>44</v>
      </c>
      <c r="M69" s="1"/>
      <c r="N69" s="1" t="s">
        <v>45</v>
      </c>
      <c r="O69" s="1"/>
      <c r="P69" s="1" t="s">
        <v>46</v>
      </c>
      <c r="Q69" s="1" t="s">
        <v>47</v>
      </c>
      <c r="R69" s="43"/>
      <c r="S69" s="13"/>
      <c r="T69" s="13"/>
    </row>
    <row r="70" spans="1:20" s="44" customFormat="1" ht="27" customHeight="1">
      <c r="A70" s="106" t="s">
        <v>86</v>
      </c>
      <c r="B70" s="41"/>
      <c r="C70" s="99"/>
      <c r="D70" s="41"/>
      <c r="E70" s="107"/>
      <c r="F70" s="41"/>
      <c r="G70" s="41"/>
      <c r="H70" s="12"/>
      <c r="I70" s="12"/>
      <c r="J70" s="13" t="str">
        <f>IF(N70=C70,"Correct","Incorrect")</f>
        <v>Incorrect</v>
      </c>
      <c r="K70" s="13" t="str">
        <f>IF(P70=E70,"Correct","Incorrect")</f>
        <v>Incorrect</v>
      </c>
      <c r="L70" s="45" t="s">
        <v>60</v>
      </c>
      <c r="M70" s="46"/>
      <c r="N70" s="47" t="s">
        <v>6</v>
      </c>
      <c r="O70" s="46"/>
      <c r="P70" s="50">
        <f>ROUND(V13*X13,0)</f>
        <v>45500</v>
      </c>
      <c r="Q70" s="46"/>
      <c r="R70" s="46"/>
      <c r="S70" s="13"/>
      <c r="T70" s="13"/>
    </row>
    <row r="71" spans="1:20" s="44" customFormat="1" ht="27" customHeight="1">
      <c r="A71" s="12"/>
      <c r="B71" s="41"/>
      <c r="C71" s="100"/>
      <c r="D71" s="41"/>
      <c r="E71" s="41"/>
      <c r="F71" s="107"/>
      <c r="G71" s="41"/>
      <c r="H71" s="12"/>
      <c r="I71" s="12"/>
      <c r="J71" s="13" t="str">
        <f>IF(N71=C71,"Correct","Incorrect")</f>
        <v>Incorrect</v>
      </c>
      <c r="K71" s="13" t="str">
        <f>IF(Q71=F71,"Correct","Incorrect")</f>
        <v>Incorrect</v>
      </c>
      <c r="M71" s="46"/>
      <c r="N71" s="49" t="s">
        <v>61</v>
      </c>
      <c r="O71" s="46"/>
      <c r="P71" s="46"/>
      <c r="Q71" s="50">
        <f>P70</f>
        <v>45500</v>
      </c>
      <c r="R71" s="46"/>
      <c r="S71" s="13"/>
      <c r="T71" s="13"/>
    </row>
    <row r="72" spans="1:20" s="44" customFormat="1" ht="9" customHeight="1" thickBot="1">
      <c r="A72" s="12"/>
      <c r="B72" s="41"/>
      <c r="C72" s="41"/>
      <c r="D72" s="41"/>
      <c r="E72" s="41"/>
      <c r="F72" s="41"/>
      <c r="G72" s="41"/>
      <c r="H72" s="12"/>
      <c r="I72" s="12"/>
      <c r="J72" s="13"/>
      <c r="K72" s="13"/>
      <c r="M72" s="46"/>
      <c r="N72" s="46"/>
      <c r="O72" s="46"/>
      <c r="P72" s="46"/>
      <c r="Q72" s="46"/>
      <c r="R72" s="46"/>
      <c r="S72" s="13"/>
      <c r="T72" s="13"/>
    </row>
    <row r="73" spans="1:20" s="44" customFormat="1" ht="43.5" customHeight="1" thickBot="1">
      <c r="A73" s="12"/>
      <c r="B73" s="115" t="str">
        <f>M73</f>
        <v>On December 31, 20X2 Machine Corporation announced that it broke even (zero net income) for the last half of the year, but was still able to pay Dividends in the amount of  $130,000</v>
      </c>
      <c r="C73" s="116"/>
      <c r="D73" s="116"/>
      <c r="E73" s="116"/>
      <c r="F73" s="117"/>
      <c r="G73" s="51"/>
      <c r="H73" s="12"/>
      <c r="I73" s="12"/>
      <c r="J73" s="13"/>
      <c r="K73" s="13"/>
      <c r="M73" s="115" t="str">
        <f>CONCATENATE("On December 31, 20X2 Machine Corporation announced that it broke even (zero net income) for the last half of the year, but was still able to pay Dividends in the amount of  ",TEXT($V$13,"$#,###"))</f>
        <v>On December 31, 20X2 Machine Corporation announced that it broke even (zero net income) for the last half of the year, but was still able to pay Dividends in the amount of  $130,000</v>
      </c>
      <c r="N73" s="116"/>
      <c r="O73" s="116"/>
      <c r="P73" s="116"/>
      <c r="Q73" s="117"/>
      <c r="R73" s="52"/>
      <c r="S73" s="13"/>
      <c r="T73" s="13"/>
    </row>
    <row r="74" spans="1:20">
      <c r="B74" s="41"/>
      <c r="C74" s="41"/>
      <c r="D74" s="41"/>
      <c r="E74" s="41"/>
      <c r="F74" s="41"/>
      <c r="G74" s="41"/>
      <c r="M74" s="41"/>
      <c r="N74" s="41"/>
      <c r="O74" s="41"/>
      <c r="P74" s="41"/>
      <c r="Q74" s="41"/>
      <c r="R74" s="41"/>
    </row>
    <row r="75" spans="1:20" ht="15.75" thickBot="1">
      <c r="B75" s="41"/>
      <c r="C75" s="41"/>
      <c r="D75" s="41"/>
      <c r="E75" s="41"/>
      <c r="F75" s="41"/>
      <c r="G75" s="41"/>
      <c r="M75" s="41"/>
      <c r="N75" s="41"/>
      <c r="O75" s="41"/>
      <c r="P75" s="41"/>
      <c r="Q75" s="41"/>
      <c r="R75" s="41"/>
    </row>
    <row r="76" spans="1:20" s="44" customFormat="1" ht="54" customHeight="1" thickBot="1">
      <c r="A76" s="4" t="s">
        <v>65</v>
      </c>
      <c r="B76" s="126" t="s">
        <v>88</v>
      </c>
      <c r="C76" s="126"/>
      <c r="D76" s="126"/>
      <c r="E76" s="57"/>
      <c r="F76" s="97"/>
      <c r="G76" s="46"/>
      <c r="H76" s="12"/>
      <c r="I76" s="12"/>
      <c r="J76" s="13"/>
      <c r="K76" s="13" t="str">
        <f>IF(Q76=F76,"Correct","Incorrect")</f>
        <v>Incorrect</v>
      </c>
      <c r="L76" s="44" t="s">
        <v>65</v>
      </c>
      <c r="M76" s="125" t="s">
        <v>87</v>
      </c>
      <c r="N76" s="125"/>
      <c r="O76" s="125"/>
      <c r="P76" s="58"/>
      <c r="Q76" s="59">
        <f>P16+P64-Q71</f>
        <v>996250</v>
      </c>
      <c r="R76" s="46"/>
      <c r="S76" s="13"/>
      <c r="T76" s="13"/>
    </row>
    <row r="77" spans="1:20">
      <c r="B77" s="41"/>
      <c r="C77" s="41"/>
      <c r="D77" s="41"/>
      <c r="E77" s="41"/>
      <c r="F77" s="41"/>
      <c r="G77" s="41"/>
      <c r="M77" s="41"/>
      <c r="N77" s="41"/>
      <c r="O77" s="41"/>
      <c r="P77" s="41"/>
      <c r="Q77" s="41"/>
      <c r="R77" s="41"/>
    </row>
    <row r="78" spans="1:20">
      <c r="A78" s="108" t="s">
        <v>72</v>
      </c>
      <c r="B78" s="112" t="str">
        <f>M78</f>
        <v>Using the information from the questions above, complete the balance sheet and statement of comprehensive income for Enter Name Here Corporation for the year ended December 31, 20X2.  Enter Name Here Corporation did not declare or pay any dividends during the year ended December 31, 20X2.  Note that in order to complete the balance sheet you will first need to complete the statement of comprehensive income.</v>
      </c>
      <c r="C78" s="112"/>
      <c r="D78" s="112"/>
      <c r="E78" s="112"/>
      <c r="F78" s="112"/>
      <c r="G78" s="112"/>
      <c r="M78" s="121" t="str">
        <f>CONCATENATE("Using the information from the questions above, complete the balance sheet and statement of comprehensive income for ",Identification!$B$1," Corporation for the year ended December 31, 20X2.  ",Identification!$B$1, " Corporation did not declare or pay any dividends during the year ended December 31, 20X2.  Note that in order to complete the balance sheet you will first need to complete the statement of comprehensive income.")</f>
        <v>Using the information from the questions above, complete the balance sheet and statement of comprehensive income for Enter Name Here Corporation for the year ended December 31, 20X2.  Enter Name Here Corporation did not declare or pay any dividends during the year ended December 31, 20X2.  Note that in order to complete the balance sheet you will first need to complete the statement of comprehensive income.</v>
      </c>
      <c r="N78" s="121"/>
      <c r="O78" s="121"/>
      <c r="P78" s="121"/>
      <c r="Q78" s="121"/>
      <c r="R78" s="121"/>
    </row>
    <row r="79" spans="1:20">
      <c r="A79" s="108"/>
      <c r="B79" s="112"/>
      <c r="C79" s="112"/>
      <c r="D79" s="112"/>
      <c r="E79" s="112"/>
      <c r="F79" s="112"/>
      <c r="G79" s="112"/>
      <c r="M79" s="121"/>
      <c r="N79" s="121"/>
      <c r="O79" s="121"/>
      <c r="P79" s="121"/>
      <c r="Q79" s="121"/>
      <c r="R79" s="121"/>
    </row>
    <row r="80" spans="1:20" ht="43.5" customHeight="1">
      <c r="A80" s="108"/>
      <c r="B80" s="112"/>
      <c r="C80" s="112"/>
      <c r="D80" s="112"/>
      <c r="E80" s="112"/>
      <c r="F80" s="112"/>
      <c r="G80" s="112"/>
      <c r="M80" s="121"/>
      <c r="N80" s="121"/>
      <c r="O80" s="121"/>
      <c r="P80" s="121"/>
      <c r="Q80" s="121"/>
      <c r="R80" s="121"/>
    </row>
    <row r="81" spans="1:19">
      <c r="B81" s="61"/>
      <c r="C81" s="61"/>
      <c r="D81" s="61"/>
      <c r="E81" s="61"/>
      <c r="F81" s="62"/>
      <c r="G81" s="61"/>
      <c r="M81" s="61"/>
      <c r="N81" s="61"/>
      <c r="O81" s="61"/>
      <c r="P81" s="61"/>
      <c r="Q81" s="62"/>
      <c r="R81" s="61"/>
    </row>
    <row r="82" spans="1:19" s="13" customFormat="1">
      <c r="A82" s="12"/>
      <c r="B82" s="68"/>
      <c r="C82" s="68"/>
      <c r="D82" s="68"/>
      <c r="E82" s="68"/>
      <c r="F82" s="68"/>
      <c r="G82" s="68"/>
      <c r="H82" s="12"/>
      <c r="I82" s="12"/>
      <c r="M82" s="17"/>
      <c r="N82" s="17"/>
      <c r="O82" s="17"/>
      <c r="P82" s="17"/>
      <c r="Q82" s="17"/>
      <c r="R82" s="17"/>
    </row>
    <row r="83" spans="1:19" s="13" customFormat="1">
      <c r="A83" s="12"/>
      <c r="B83" s="111" t="str">
        <f>M83</f>
        <v>ENTER NAME HERE CORPORATION</v>
      </c>
      <c r="C83" s="111"/>
      <c r="D83" s="111"/>
      <c r="E83" s="111"/>
      <c r="F83" s="111"/>
      <c r="G83" s="111"/>
      <c r="H83" s="12"/>
      <c r="I83" s="12"/>
      <c r="M83" s="124" t="str">
        <f>CONCATENATE(UPPER(Identification!$B$1)," CORPORATION")</f>
        <v>ENTER NAME HERE CORPORATION</v>
      </c>
      <c r="N83" s="124"/>
      <c r="O83" s="124"/>
      <c r="P83" s="124"/>
      <c r="Q83" s="124"/>
      <c r="R83" s="124"/>
    </row>
    <row r="84" spans="1:19" s="13" customFormat="1">
      <c r="A84" s="12"/>
      <c r="B84" s="111" t="s">
        <v>7</v>
      </c>
      <c r="C84" s="111"/>
      <c r="D84" s="111"/>
      <c r="E84" s="111"/>
      <c r="F84" s="111"/>
      <c r="G84" s="111"/>
      <c r="H84" s="12"/>
      <c r="I84" s="12"/>
      <c r="M84" s="124" t="s">
        <v>7</v>
      </c>
      <c r="N84" s="124"/>
      <c r="O84" s="124"/>
      <c r="P84" s="124"/>
      <c r="Q84" s="124"/>
      <c r="R84" s="124"/>
    </row>
    <row r="85" spans="1:19" s="13" customFormat="1">
      <c r="A85" s="12"/>
      <c r="B85" s="111" t="str">
        <f>M85</f>
        <v>December 31, 20X2</v>
      </c>
      <c r="C85" s="111"/>
      <c r="D85" s="111"/>
      <c r="E85" s="111"/>
      <c r="F85" s="111"/>
      <c r="G85" s="111"/>
      <c r="H85" s="12"/>
      <c r="I85" s="12"/>
      <c r="M85" s="124" t="s">
        <v>66</v>
      </c>
      <c r="N85" s="124"/>
      <c r="O85" s="124"/>
      <c r="P85" s="124"/>
      <c r="Q85" s="124"/>
      <c r="R85" s="124"/>
    </row>
    <row r="86" spans="1:19" s="13" customFormat="1">
      <c r="A86" s="12"/>
      <c r="B86" s="68"/>
      <c r="C86" s="68"/>
      <c r="D86" s="68"/>
      <c r="E86" s="68"/>
      <c r="F86" s="68"/>
      <c r="G86" s="68"/>
      <c r="H86" s="12"/>
      <c r="I86" s="12"/>
      <c r="M86" s="17"/>
      <c r="N86" s="17"/>
      <c r="O86" s="17"/>
      <c r="P86" s="17"/>
      <c r="Q86" s="17"/>
      <c r="R86" s="17"/>
    </row>
    <row r="87" spans="1:19" s="13" customFormat="1">
      <c r="A87" s="12"/>
      <c r="B87" s="71"/>
      <c r="C87" s="72" t="s">
        <v>8</v>
      </c>
      <c r="D87" s="72"/>
      <c r="E87" s="73"/>
      <c r="F87" s="74"/>
      <c r="G87" s="75"/>
      <c r="H87" s="12"/>
      <c r="I87" s="12"/>
      <c r="M87" s="20"/>
      <c r="N87" s="21" t="s">
        <v>8</v>
      </c>
      <c r="O87" s="21"/>
      <c r="P87" s="22"/>
      <c r="Q87" s="23"/>
      <c r="R87" s="24"/>
    </row>
    <row r="88" spans="1:19" s="13" customFormat="1">
      <c r="A88" s="12"/>
      <c r="B88" s="71"/>
      <c r="C88" s="76" t="s">
        <v>9</v>
      </c>
      <c r="D88" s="72"/>
      <c r="E88" s="73"/>
      <c r="F88" s="74"/>
      <c r="G88" s="75"/>
      <c r="H88" s="12"/>
      <c r="I88" s="12"/>
      <c r="M88" s="20"/>
      <c r="N88" s="25" t="s">
        <v>9</v>
      </c>
      <c r="O88" s="21"/>
      <c r="P88" s="22"/>
      <c r="Q88" s="23"/>
      <c r="R88" s="24"/>
    </row>
    <row r="89" spans="1:19" s="13" customFormat="1">
      <c r="A89" s="12"/>
      <c r="B89" s="71"/>
      <c r="C89" s="77" t="s">
        <v>6</v>
      </c>
      <c r="D89" s="78"/>
      <c r="E89" s="74">
        <f>P89</f>
        <v>355671.5</v>
      </c>
      <c r="F89" s="74"/>
      <c r="G89" s="75"/>
      <c r="H89" s="12"/>
      <c r="I89" s="12"/>
      <c r="M89" s="20"/>
      <c r="N89" s="27" t="s">
        <v>6</v>
      </c>
      <c r="O89" s="28"/>
      <c r="P89" s="23">
        <f>Q96-Q95-Q93-P90</f>
        <v>355671.5</v>
      </c>
      <c r="Q89" s="23"/>
      <c r="R89" s="24"/>
      <c r="S89" s="13" t="s">
        <v>76</v>
      </c>
    </row>
    <row r="90" spans="1:19" s="13" customFormat="1">
      <c r="A90" s="12"/>
      <c r="B90" s="71"/>
      <c r="C90" s="77" t="s">
        <v>10</v>
      </c>
      <c r="D90" s="78"/>
      <c r="E90" s="88">
        <f>P90</f>
        <v>160000</v>
      </c>
      <c r="F90" s="74">
        <f>SUM(E89:E90)</f>
        <v>515671.5</v>
      </c>
      <c r="G90" s="75"/>
      <c r="H90" s="12"/>
      <c r="I90" s="12"/>
      <c r="M90" s="20"/>
      <c r="N90" s="27" t="s">
        <v>10</v>
      </c>
      <c r="O90" s="28"/>
      <c r="P90" s="29">
        <f>P13*1.25</f>
        <v>160000</v>
      </c>
      <c r="Q90" s="30">
        <f>SUM(P89:P90)</f>
        <v>515671.5</v>
      </c>
      <c r="R90" s="24"/>
    </row>
    <row r="91" spans="1:19" s="13" customFormat="1" ht="15.75" thickBot="1">
      <c r="A91" s="12"/>
      <c r="B91" s="71"/>
      <c r="C91" s="76" t="s">
        <v>11</v>
      </c>
      <c r="D91" s="72"/>
      <c r="E91" s="73"/>
      <c r="F91" s="74"/>
      <c r="G91" s="75"/>
      <c r="H91" s="12"/>
      <c r="I91" s="12"/>
      <c r="M91" s="20"/>
      <c r="N91" s="25" t="s">
        <v>11</v>
      </c>
      <c r="O91" s="21"/>
      <c r="P91" s="22"/>
      <c r="Q91" s="23"/>
      <c r="R91" s="24"/>
    </row>
    <row r="92" spans="1:19" s="13" customFormat="1">
      <c r="A92" s="12"/>
      <c r="B92" s="71"/>
      <c r="C92" s="77" t="str">
        <f>N92</f>
        <v>Brown Coporation AFS debt securities</v>
      </c>
      <c r="D92" s="72"/>
      <c r="E92" s="95"/>
      <c r="F92" s="74"/>
      <c r="G92" s="75"/>
      <c r="H92" s="12"/>
      <c r="I92" s="12"/>
      <c r="K92" s="13" t="str">
        <f>IF(P92=E92,"Correct","Incorrect")</f>
        <v>Incorrect</v>
      </c>
      <c r="M92" s="20"/>
      <c r="N92" s="27" t="s">
        <v>77</v>
      </c>
      <c r="O92" s="21"/>
      <c r="P92" s="30">
        <f>Q59</f>
        <v>402900</v>
      </c>
      <c r="Q92" s="23"/>
      <c r="R92" s="24"/>
    </row>
    <row r="93" spans="1:19" s="13" customFormat="1" ht="15.75" thickBot="1">
      <c r="A93" s="12"/>
      <c r="B93" s="71"/>
      <c r="C93" s="77" t="str">
        <f>N93</f>
        <v>Machine Corporation Stock</v>
      </c>
      <c r="D93" s="78"/>
      <c r="E93" s="96"/>
      <c r="F93" s="81">
        <f>SUM(E92:E93)</f>
        <v>0</v>
      </c>
      <c r="G93" s="75"/>
      <c r="H93" s="12"/>
      <c r="I93" s="12"/>
      <c r="K93" s="13" t="str">
        <f>IF(P93=E93,"Correct","Incorrect")</f>
        <v>Incorrect</v>
      </c>
      <c r="M93" s="20"/>
      <c r="N93" s="27" t="s">
        <v>41</v>
      </c>
      <c r="O93" s="28"/>
      <c r="P93" s="29">
        <f>Q76</f>
        <v>996250</v>
      </c>
      <c r="Q93" s="30">
        <f>SUM(P92:P93)</f>
        <v>1399150</v>
      </c>
      <c r="R93" s="24"/>
    </row>
    <row r="94" spans="1:19" s="13" customFormat="1">
      <c r="A94" s="12"/>
      <c r="B94" s="71"/>
      <c r="C94" s="76" t="s">
        <v>12</v>
      </c>
      <c r="D94" s="72"/>
      <c r="E94" s="82"/>
      <c r="F94" s="81"/>
      <c r="G94" s="75"/>
      <c r="H94" s="12"/>
      <c r="I94" s="12"/>
      <c r="M94" s="20"/>
      <c r="N94" s="25" t="s">
        <v>12</v>
      </c>
      <c r="O94" s="21"/>
      <c r="P94" s="33"/>
      <c r="Q94" s="30"/>
      <c r="R94" s="24"/>
    </row>
    <row r="95" spans="1:19" s="13" customFormat="1">
      <c r="A95" s="12"/>
      <c r="B95" s="71"/>
      <c r="C95" s="77" t="s">
        <v>13</v>
      </c>
      <c r="D95" s="74"/>
      <c r="E95" s="79"/>
      <c r="F95" s="79">
        <f>Q95</f>
        <v>918720</v>
      </c>
      <c r="G95" s="75"/>
      <c r="H95" s="12"/>
      <c r="I95" s="12"/>
      <c r="M95" s="20"/>
      <c r="N95" s="27" t="s">
        <v>13</v>
      </c>
      <c r="O95" s="23"/>
      <c r="P95" s="29"/>
      <c r="Q95" s="63">
        <f>Q18-Q18/10</f>
        <v>918720</v>
      </c>
      <c r="R95" s="24"/>
    </row>
    <row r="96" spans="1:19" s="13" customFormat="1">
      <c r="A96" s="12"/>
      <c r="B96" s="71"/>
      <c r="C96" s="78" t="s">
        <v>14</v>
      </c>
      <c r="D96" s="78"/>
      <c r="E96" s="82"/>
      <c r="F96" s="83">
        <f>SUM(F90:F95)</f>
        <v>1434391.5</v>
      </c>
      <c r="G96" s="75"/>
      <c r="H96" s="12"/>
      <c r="I96" s="12"/>
      <c r="M96" s="20"/>
      <c r="N96" s="28" t="s">
        <v>14</v>
      </c>
      <c r="O96" s="28"/>
      <c r="P96" s="33"/>
      <c r="Q96" s="34">
        <f>Q111</f>
        <v>2833541.5</v>
      </c>
      <c r="R96" s="24"/>
    </row>
    <row r="97" spans="1:18" s="13" customFormat="1">
      <c r="A97" s="12"/>
      <c r="B97" s="71"/>
      <c r="C97" s="71"/>
      <c r="D97" s="71"/>
      <c r="E97" s="71"/>
      <c r="F97" s="71"/>
      <c r="G97" s="75"/>
      <c r="H97" s="12"/>
      <c r="I97" s="12"/>
      <c r="M97" s="20"/>
      <c r="N97" s="20"/>
      <c r="O97" s="20"/>
      <c r="P97" s="20"/>
      <c r="Q97" s="20"/>
      <c r="R97" s="24"/>
    </row>
    <row r="98" spans="1:18" s="13" customFormat="1">
      <c r="A98" s="12"/>
      <c r="B98" s="75"/>
      <c r="C98" s="72" t="s">
        <v>15</v>
      </c>
      <c r="D98" s="72"/>
      <c r="E98" s="84"/>
      <c r="F98" s="75"/>
      <c r="G98" s="71"/>
      <c r="H98" s="12"/>
      <c r="I98" s="12"/>
      <c r="M98" s="24"/>
      <c r="N98" s="21" t="s">
        <v>15</v>
      </c>
      <c r="O98" s="21"/>
      <c r="P98" s="35"/>
      <c r="Q98" s="24"/>
      <c r="R98" s="20"/>
    </row>
    <row r="99" spans="1:18" s="13" customFormat="1">
      <c r="A99" s="12"/>
      <c r="B99" s="71"/>
      <c r="C99" s="76" t="s">
        <v>16</v>
      </c>
      <c r="D99" s="72"/>
      <c r="E99" s="73"/>
      <c r="F99" s="74"/>
      <c r="G99" s="75"/>
      <c r="H99" s="12"/>
      <c r="I99" s="12"/>
      <c r="M99" s="20"/>
      <c r="N99" s="25" t="s">
        <v>16</v>
      </c>
      <c r="O99" s="21"/>
      <c r="P99" s="22"/>
      <c r="Q99" s="23"/>
      <c r="R99" s="24"/>
    </row>
    <row r="100" spans="1:18" s="13" customFormat="1">
      <c r="A100" s="12"/>
      <c r="B100" s="75"/>
      <c r="C100" s="77" t="s">
        <v>17</v>
      </c>
      <c r="D100" s="78"/>
      <c r="E100" s="74">
        <f>P100</f>
        <v>127500</v>
      </c>
      <c r="F100" s="85"/>
      <c r="G100" s="71"/>
      <c r="H100" s="12"/>
      <c r="I100" s="12"/>
      <c r="M100" s="24"/>
      <c r="N100" s="27" t="s">
        <v>17</v>
      </c>
      <c r="O100" s="28"/>
      <c r="P100" s="23">
        <f>P23*1.25</f>
        <v>127500</v>
      </c>
      <c r="Q100" s="37"/>
      <c r="R100" s="20"/>
    </row>
    <row r="101" spans="1:18" s="13" customFormat="1">
      <c r="A101" s="12"/>
      <c r="B101" s="75"/>
      <c r="C101" s="77" t="s">
        <v>18</v>
      </c>
      <c r="D101" s="78"/>
      <c r="E101" s="88">
        <f>P101</f>
        <v>10000</v>
      </c>
      <c r="F101" s="89">
        <f>SUM(E100:E101)</f>
        <v>137500</v>
      </c>
      <c r="G101" s="71"/>
      <c r="H101" s="12"/>
      <c r="I101" s="12"/>
      <c r="M101" s="24"/>
      <c r="N101" s="27" t="s">
        <v>18</v>
      </c>
      <c r="O101" s="28"/>
      <c r="P101" s="29">
        <f>P24</f>
        <v>10000</v>
      </c>
      <c r="Q101" s="23">
        <f>SUM(P100:P101)</f>
        <v>137500</v>
      </c>
      <c r="R101" s="20"/>
    </row>
    <row r="102" spans="1:18" s="13" customFormat="1">
      <c r="A102" s="12"/>
      <c r="B102" s="71"/>
      <c r="C102" s="76" t="s">
        <v>19</v>
      </c>
      <c r="D102" s="72"/>
      <c r="E102" s="73"/>
      <c r="F102" s="74"/>
      <c r="G102" s="75"/>
      <c r="H102" s="12"/>
      <c r="I102" s="12"/>
      <c r="M102" s="20"/>
      <c r="N102" s="25" t="s">
        <v>19</v>
      </c>
      <c r="O102" s="21"/>
      <c r="P102" s="22"/>
      <c r="Q102" s="23"/>
      <c r="R102" s="24"/>
    </row>
    <row r="103" spans="1:18" s="13" customFormat="1">
      <c r="A103" s="12"/>
      <c r="B103" s="75"/>
      <c r="C103" s="77" t="s">
        <v>20</v>
      </c>
      <c r="D103" s="78"/>
      <c r="E103" s="74"/>
      <c r="F103" s="79">
        <f>Q103</f>
        <v>626400</v>
      </c>
      <c r="G103" s="71"/>
      <c r="H103" s="12"/>
      <c r="I103" s="12"/>
      <c r="M103" s="24"/>
      <c r="N103" s="27" t="s">
        <v>20</v>
      </c>
      <c r="O103" s="28"/>
      <c r="P103" s="23"/>
      <c r="Q103" s="29">
        <f>Q26-Q26*0.1</f>
        <v>626400</v>
      </c>
      <c r="R103" s="20"/>
    </row>
    <row r="104" spans="1:18" s="13" customFormat="1">
      <c r="A104" s="12"/>
      <c r="B104" s="75"/>
      <c r="C104" s="78" t="s">
        <v>21</v>
      </c>
      <c r="D104" s="78"/>
      <c r="E104" s="81"/>
      <c r="F104" s="74">
        <f>F101+F103</f>
        <v>763900</v>
      </c>
      <c r="G104" s="71"/>
      <c r="H104" s="12"/>
      <c r="I104" s="12"/>
      <c r="M104" s="24"/>
      <c r="N104" s="28" t="s">
        <v>21</v>
      </c>
      <c r="O104" s="28"/>
      <c r="P104" s="30"/>
      <c r="Q104" s="23">
        <f>Q101+Q103</f>
        <v>763900</v>
      </c>
      <c r="R104" s="20"/>
    </row>
    <row r="105" spans="1:18" s="13" customFormat="1">
      <c r="A105" s="12"/>
      <c r="B105" s="75"/>
      <c r="C105" s="90"/>
      <c r="D105" s="78"/>
      <c r="E105" s="81"/>
      <c r="F105" s="74"/>
      <c r="G105" s="71"/>
      <c r="H105" s="12"/>
      <c r="I105" s="12"/>
      <c r="M105" s="24"/>
      <c r="N105" s="64"/>
      <c r="O105" s="28"/>
      <c r="P105" s="30"/>
      <c r="Q105" s="23"/>
      <c r="R105" s="20"/>
    </row>
    <row r="106" spans="1:18" s="13" customFormat="1">
      <c r="A106" s="12"/>
      <c r="B106" s="75"/>
      <c r="C106" s="72" t="s">
        <v>22</v>
      </c>
      <c r="D106" s="72"/>
      <c r="E106" s="81"/>
      <c r="F106" s="74"/>
      <c r="G106" s="71"/>
      <c r="H106" s="12"/>
      <c r="I106" s="12"/>
      <c r="M106" s="24"/>
      <c r="N106" s="21" t="s">
        <v>22</v>
      </c>
      <c r="O106" s="21"/>
      <c r="P106" s="30"/>
      <c r="Q106" s="23"/>
      <c r="R106" s="20"/>
    </row>
    <row r="107" spans="1:18" s="13" customFormat="1" ht="15.75" thickBot="1">
      <c r="A107" s="12"/>
      <c r="B107" s="75"/>
      <c r="C107" s="77" t="s">
        <v>23</v>
      </c>
      <c r="D107" s="78"/>
      <c r="E107" s="74">
        <f>P107</f>
        <v>1478800</v>
      </c>
      <c r="F107" s="86"/>
      <c r="G107" s="71"/>
      <c r="H107" s="12"/>
      <c r="I107" s="12"/>
      <c r="M107" s="24"/>
      <c r="N107" s="27" t="s">
        <v>23</v>
      </c>
      <c r="O107" s="28"/>
      <c r="P107" s="23">
        <f>P30</f>
        <v>1478800</v>
      </c>
      <c r="Q107" s="38"/>
      <c r="R107" s="20"/>
    </row>
    <row r="108" spans="1:18" s="13" customFormat="1" ht="15.75" thickBot="1">
      <c r="A108" s="12"/>
      <c r="B108" s="75"/>
      <c r="C108" s="77" t="s">
        <v>24</v>
      </c>
      <c r="D108" s="78"/>
      <c r="E108" s="97"/>
      <c r="F108" s="86"/>
      <c r="G108" s="71"/>
      <c r="H108" s="12"/>
      <c r="I108" s="12"/>
      <c r="K108" s="13" t="str">
        <f>IF(P108=E108,"Correct","Incorrect")</f>
        <v>Incorrect</v>
      </c>
      <c r="M108" s="24"/>
      <c r="N108" s="27" t="s">
        <v>24</v>
      </c>
      <c r="O108" s="28"/>
      <c r="P108" s="30">
        <f>P31+Q133</f>
        <v>582941.5</v>
      </c>
      <c r="Q108" s="38"/>
      <c r="R108" s="20"/>
    </row>
    <row r="109" spans="1:18" s="13" customFormat="1">
      <c r="A109" s="12"/>
      <c r="B109" s="75"/>
      <c r="C109" s="77" t="s">
        <v>27</v>
      </c>
      <c r="D109" s="78"/>
      <c r="E109" s="88">
        <f>P109</f>
        <v>7900</v>
      </c>
      <c r="F109" s="86"/>
      <c r="G109" s="71"/>
      <c r="H109" s="12"/>
      <c r="I109" s="12"/>
      <c r="M109" s="24"/>
      <c r="N109" s="27" t="s">
        <v>27</v>
      </c>
      <c r="O109" s="28"/>
      <c r="P109" s="29">
        <f>Q57</f>
        <v>7900</v>
      </c>
      <c r="Q109" s="38"/>
      <c r="R109" s="20"/>
    </row>
    <row r="110" spans="1:18" s="13" customFormat="1">
      <c r="A110" s="12"/>
      <c r="B110" s="75"/>
      <c r="C110" s="78" t="s">
        <v>25</v>
      </c>
      <c r="D110" s="78"/>
      <c r="E110" s="85"/>
      <c r="F110" s="91">
        <f>SUM(E107:E109)</f>
        <v>1486700</v>
      </c>
      <c r="G110" s="71"/>
      <c r="H110" s="12"/>
      <c r="I110" s="12"/>
      <c r="M110" s="24"/>
      <c r="N110" s="28" t="s">
        <v>25</v>
      </c>
      <c r="O110" s="28"/>
      <c r="P110" s="37"/>
      <c r="Q110" s="29">
        <f>SUM(P107:P109)</f>
        <v>2069641.5</v>
      </c>
      <c r="R110" s="20"/>
    </row>
    <row r="111" spans="1:18" s="13" customFormat="1">
      <c r="A111" s="12"/>
      <c r="B111" s="75"/>
      <c r="C111" s="78" t="s">
        <v>26</v>
      </c>
      <c r="D111" s="78"/>
      <c r="E111" s="85"/>
      <c r="F111" s="83">
        <f>SUM(F104:F110)</f>
        <v>2250600</v>
      </c>
      <c r="G111" s="71"/>
      <c r="H111" s="12"/>
      <c r="I111" s="12"/>
      <c r="J111" s="65"/>
      <c r="M111" s="24"/>
      <c r="N111" s="28" t="s">
        <v>26</v>
      </c>
      <c r="O111" s="28"/>
      <c r="P111" s="37"/>
      <c r="Q111" s="34">
        <f>Q104+Q110</f>
        <v>2833541.5</v>
      </c>
      <c r="R111" s="20"/>
    </row>
    <row r="112" spans="1:18" s="13" customFormat="1">
      <c r="A112" s="12"/>
      <c r="B112" s="71"/>
      <c r="C112" s="71"/>
      <c r="D112" s="71"/>
      <c r="E112" s="71"/>
      <c r="F112" s="87"/>
      <c r="G112" s="71"/>
      <c r="H112" s="12"/>
      <c r="I112" s="12"/>
      <c r="J112" s="65"/>
      <c r="M112" s="20"/>
      <c r="N112" s="20"/>
      <c r="O112" s="20"/>
      <c r="P112" s="20"/>
      <c r="Q112" s="39"/>
      <c r="R112" s="20"/>
    </row>
    <row r="113" spans="1:18" s="13" customFormat="1">
      <c r="A113" s="12"/>
      <c r="B113" s="70"/>
      <c r="C113" s="70"/>
      <c r="D113" s="70"/>
      <c r="E113" s="70"/>
      <c r="F113" s="70"/>
      <c r="G113" s="70"/>
      <c r="H113" s="12"/>
      <c r="I113" s="12"/>
      <c r="M113" s="66"/>
      <c r="N113" s="66"/>
      <c r="O113" s="66"/>
      <c r="P113" s="66"/>
      <c r="Q113" s="66"/>
      <c r="R113" s="66"/>
    </row>
    <row r="114" spans="1:18"/>
    <row r="115" spans="1:18"/>
    <row r="116" spans="1:18" s="13" customFormat="1">
      <c r="A116" s="12"/>
      <c r="B116" s="68"/>
      <c r="C116" s="68"/>
      <c r="D116" s="68"/>
      <c r="E116" s="68"/>
      <c r="F116" s="68"/>
      <c r="G116" s="68"/>
      <c r="H116" s="12"/>
      <c r="I116" s="12"/>
      <c r="M116" s="17"/>
      <c r="N116" s="17"/>
      <c r="O116" s="17"/>
      <c r="P116" s="17"/>
      <c r="Q116" s="17"/>
      <c r="R116" s="17"/>
    </row>
    <row r="117" spans="1:18" s="13" customFormat="1">
      <c r="A117" s="12"/>
      <c r="B117" s="111" t="str">
        <f>M117</f>
        <v>ENTER NAME HERE CORPORATION</v>
      </c>
      <c r="C117" s="111"/>
      <c r="D117" s="111"/>
      <c r="E117" s="111"/>
      <c r="F117" s="111"/>
      <c r="G117" s="111"/>
      <c r="H117" s="12"/>
      <c r="I117" s="12"/>
      <c r="M117" s="124" t="str">
        <f>CONCATENATE(UPPER(Identification!$B$1)," CORPORATION")</f>
        <v>ENTER NAME HERE CORPORATION</v>
      </c>
      <c r="N117" s="124"/>
      <c r="O117" s="124"/>
      <c r="P117" s="124"/>
      <c r="Q117" s="124"/>
      <c r="R117" s="124"/>
    </row>
    <row r="118" spans="1:18" s="13" customFormat="1">
      <c r="A118" s="12"/>
      <c r="B118" s="111" t="str">
        <f>M118</f>
        <v>Statement of Comprehensive Income</v>
      </c>
      <c r="C118" s="111"/>
      <c r="D118" s="111"/>
      <c r="E118" s="111"/>
      <c r="F118" s="111"/>
      <c r="G118" s="111"/>
      <c r="H118" s="12"/>
      <c r="I118" s="12"/>
      <c r="M118" s="124" t="s">
        <v>28</v>
      </c>
      <c r="N118" s="124"/>
      <c r="O118" s="124"/>
      <c r="P118" s="124"/>
      <c r="Q118" s="124"/>
      <c r="R118" s="124"/>
    </row>
    <row r="119" spans="1:18" s="13" customFormat="1">
      <c r="A119" s="12"/>
      <c r="B119" s="111" t="str">
        <f>M119</f>
        <v>For the year ending December 31, 20X2</v>
      </c>
      <c r="C119" s="111"/>
      <c r="D119" s="111"/>
      <c r="E119" s="111"/>
      <c r="F119" s="111"/>
      <c r="G119" s="111"/>
      <c r="H119" s="12"/>
      <c r="I119" s="12"/>
      <c r="M119" s="124" t="s">
        <v>69</v>
      </c>
      <c r="N119" s="124"/>
      <c r="O119" s="124"/>
      <c r="P119" s="124"/>
      <c r="Q119" s="124"/>
      <c r="R119" s="124"/>
    </row>
    <row r="120" spans="1:18" s="13" customFormat="1">
      <c r="A120" s="12"/>
      <c r="B120" s="68"/>
      <c r="C120" s="68"/>
      <c r="D120" s="68"/>
      <c r="E120" s="68"/>
      <c r="F120" s="68"/>
      <c r="G120" s="68"/>
      <c r="H120" s="12"/>
      <c r="I120" s="12"/>
      <c r="M120" s="17"/>
      <c r="N120" s="17"/>
      <c r="O120" s="17"/>
      <c r="P120" s="17"/>
      <c r="Q120" s="17"/>
      <c r="R120" s="17"/>
    </row>
    <row r="121" spans="1:18" s="13" customFormat="1">
      <c r="A121" s="12"/>
      <c r="B121" s="71"/>
      <c r="C121" s="72" t="s">
        <v>29</v>
      </c>
      <c r="D121" s="72"/>
      <c r="E121" s="73"/>
      <c r="F121" s="74"/>
      <c r="G121" s="75"/>
      <c r="H121" s="12"/>
      <c r="I121" s="12"/>
      <c r="M121" s="20"/>
      <c r="N121" s="21" t="s">
        <v>29</v>
      </c>
      <c r="O121" s="21"/>
      <c r="P121" s="22"/>
      <c r="Q121" s="23"/>
      <c r="R121" s="24"/>
    </row>
    <row r="122" spans="1:18" s="13" customFormat="1">
      <c r="A122" s="12"/>
      <c r="B122" s="71"/>
      <c r="C122" s="92" t="s">
        <v>30</v>
      </c>
      <c r="D122" s="78"/>
      <c r="E122" s="74"/>
      <c r="F122" s="74">
        <f>Q122</f>
        <v>2500000</v>
      </c>
      <c r="G122" s="75"/>
      <c r="H122" s="12"/>
      <c r="I122" s="12"/>
      <c r="M122" s="20"/>
      <c r="N122" s="67" t="s">
        <v>30</v>
      </c>
      <c r="O122" s="28"/>
      <c r="P122" s="23"/>
      <c r="Q122" s="23">
        <v>2500000</v>
      </c>
      <c r="R122" s="24"/>
    </row>
    <row r="123" spans="1:18" s="13" customFormat="1">
      <c r="A123" s="12"/>
      <c r="B123" s="71"/>
      <c r="C123" s="72" t="s">
        <v>31</v>
      </c>
      <c r="D123" s="78"/>
      <c r="E123" s="81"/>
      <c r="F123" s="81"/>
      <c r="G123" s="75"/>
      <c r="H123" s="12"/>
      <c r="I123" s="12"/>
      <c r="M123" s="20"/>
      <c r="N123" s="21" t="s">
        <v>31</v>
      </c>
      <c r="O123" s="28"/>
      <c r="P123" s="30"/>
      <c r="Q123" s="30"/>
      <c r="R123" s="24"/>
    </row>
    <row r="124" spans="1:18" s="13" customFormat="1">
      <c r="A124" s="12"/>
      <c r="B124" s="71"/>
      <c r="C124" s="92" t="s">
        <v>32</v>
      </c>
      <c r="D124" s="78"/>
      <c r="E124" s="74">
        <f>P124</f>
        <v>1875000</v>
      </c>
      <c r="F124" s="74"/>
      <c r="G124" s="75"/>
      <c r="H124" s="12"/>
      <c r="I124" s="12"/>
      <c r="M124" s="20"/>
      <c r="N124" s="67" t="s">
        <v>32</v>
      </c>
      <c r="O124" s="28"/>
      <c r="P124" s="23">
        <f>Q122*0.75</f>
        <v>1875000</v>
      </c>
      <c r="Q124" s="23"/>
      <c r="R124" s="24"/>
    </row>
    <row r="125" spans="1:18" s="13" customFormat="1">
      <c r="A125" s="12"/>
      <c r="B125" s="71"/>
      <c r="C125" s="92" t="s">
        <v>33</v>
      </c>
      <c r="D125" s="72"/>
      <c r="E125" s="81">
        <f>P125</f>
        <v>125000</v>
      </c>
      <c r="F125" s="74"/>
      <c r="G125" s="75"/>
      <c r="H125" s="12"/>
      <c r="I125" s="12"/>
      <c r="M125" s="20"/>
      <c r="N125" s="67" t="s">
        <v>33</v>
      </c>
      <c r="O125" s="21"/>
      <c r="P125" s="30">
        <f>Q122*0.05</f>
        <v>125000</v>
      </c>
      <c r="Q125" s="23"/>
      <c r="R125" s="24"/>
    </row>
    <row r="126" spans="1:18" s="13" customFormat="1">
      <c r="A126" s="12"/>
      <c r="B126" s="71"/>
      <c r="C126" s="92" t="s">
        <v>34</v>
      </c>
      <c r="D126" s="72"/>
      <c r="E126" s="81">
        <f>P126</f>
        <v>250000</v>
      </c>
      <c r="F126" s="74"/>
      <c r="G126" s="75"/>
      <c r="H126" s="12"/>
      <c r="I126" s="12"/>
      <c r="M126" s="20"/>
      <c r="N126" s="67" t="s">
        <v>34</v>
      </c>
      <c r="O126" s="21"/>
      <c r="P126" s="30">
        <f>Q122*0.1</f>
        <v>250000</v>
      </c>
      <c r="Q126" s="23"/>
      <c r="R126" s="24"/>
    </row>
    <row r="127" spans="1:18" s="13" customFormat="1">
      <c r="A127" s="12"/>
      <c r="B127" s="71"/>
      <c r="C127" s="92" t="s">
        <v>35</v>
      </c>
      <c r="D127" s="72"/>
      <c r="E127" s="81">
        <f>P127</f>
        <v>41760</v>
      </c>
      <c r="F127" s="74"/>
      <c r="G127" s="75"/>
      <c r="H127" s="12"/>
      <c r="I127" s="12"/>
      <c r="M127" s="20"/>
      <c r="N127" s="67" t="s">
        <v>35</v>
      </c>
      <c r="O127" s="21"/>
      <c r="P127" s="30">
        <f>Q26*0.06</f>
        <v>41760</v>
      </c>
      <c r="Q127" s="23"/>
      <c r="R127" s="24"/>
    </row>
    <row r="128" spans="1:18" s="13" customFormat="1">
      <c r="A128" s="12"/>
      <c r="B128" s="71"/>
      <c r="C128" s="92" t="s">
        <v>67</v>
      </c>
      <c r="D128" s="72"/>
      <c r="E128" s="79">
        <f>P128</f>
        <v>102080</v>
      </c>
      <c r="F128" s="81">
        <f>SUM(E124:E128)</f>
        <v>2393840</v>
      </c>
      <c r="G128" s="75"/>
      <c r="H128" s="12"/>
      <c r="I128" s="12"/>
      <c r="M128" s="20"/>
      <c r="N128" s="67" t="s">
        <v>67</v>
      </c>
      <c r="O128" s="21"/>
      <c r="P128" s="29">
        <f>Q18-Q95</f>
        <v>102080</v>
      </c>
      <c r="Q128" s="30">
        <f>SUM(P124:P128)</f>
        <v>2393840</v>
      </c>
      <c r="R128" s="24"/>
    </row>
    <row r="129" spans="1:18" s="13" customFormat="1" ht="15.75" thickBot="1">
      <c r="A129" s="12"/>
      <c r="B129" s="71"/>
      <c r="C129" s="72" t="s">
        <v>75</v>
      </c>
      <c r="D129" s="72"/>
      <c r="E129" s="74"/>
      <c r="F129" s="74"/>
      <c r="G129" s="75"/>
      <c r="H129" s="12"/>
      <c r="I129" s="12"/>
      <c r="M129" s="20"/>
      <c r="N129" s="21" t="s">
        <v>75</v>
      </c>
      <c r="O129" s="21"/>
      <c r="P129" s="23"/>
      <c r="Q129" s="23"/>
      <c r="R129" s="24"/>
    </row>
    <row r="130" spans="1:18" s="13" customFormat="1" ht="15.75" thickBot="1">
      <c r="A130" s="12"/>
      <c r="B130" s="71"/>
      <c r="C130" s="77" t="s">
        <v>36</v>
      </c>
      <c r="D130" s="72"/>
      <c r="E130" s="97"/>
      <c r="F130" s="94">
        <f>E130</f>
        <v>0</v>
      </c>
      <c r="G130" s="75"/>
      <c r="H130" s="12"/>
      <c r="I130" s="12"/>
      <c r="K130" s="13" t="str">
        <f>IF(P130=E130,"Correct","Incorrect")</f>
        <v>Incorrect</v>
      </c>
      <c r="M130" s="20"/>
      <c r="N130" s="27" t="s">
        <v>36</v>
      </c>
      <c r="O130" s="28"/>
      <c r="P130" s="28">
        <f>Q65</f>
        <v>113750</v>
      </c>
      <c r="Q130" s="93">
        <f>P130</f>
        <v>113750</v>
      </c>
      <c r="R130" s="24"/>
    </row>
    <row r="131" spans="1:18" s="13" customFormat="1">
      <c r="A131" s="12"/>
      <c r="B131" s="71"/>
      <c r="C131" s="72" t="s">
        <v>37</v>
      </c>
      <c r="D131" s="78"/>
      <c r="E131" s="74"/>
      <c r="F131" s="74">
        <f>F122-F128+F130</f>
        <v>106160</v>
      </c>
      <c r="G131" s="75"/>
      <c r="H131" s="12"/>
      <c r="I131" s="12"/>
      <c r="M131" s="20"/>
      <c r="N131" s="21" t="s">
        <v>37</v>
      </c>
      <c r="O131" s="28"/>
      <c r="P131" s="23"/>
      <c r="Q131" s="23">
        <f>Q122-Q128+Q130</f>
        <v>219910</v>
      </c>
      <c r="R131" s="24"/>
    </row>
    <row r="132" spans="1:18" s="13" customFormat="1">
      <c r="A132" s="12"/>
      <c r="B132" s="71"/>
      <c r="C132" s="92" t="s">
        <v>38</v>
      </c>
      <c r="D132" s="72"/>
      <c r="E132" s="82"/>
      <c r="F132" s="79">
        <f>F131*0.35</f>
        <v>37156</v>
      </c>
      <c r="G132" s="75"/>
      <c r="H132" s="12"/>
      <c r="I132" s="12"/>
      <c r="M132" s="20"/>
      <c r="N132" s="67" t="s">
        <v>38</v>
      </c>
      <c r="O132" s="21"/>
      <c r="P132" s="33"/>
      <c r="Q132" s="29">
        <f>Q131*0.35</f>
        <v>76968.5</v>
      </c>
      <c r="R132" s="24"/>
    </row>
    <row r="133" spans="1:18" s="13" customFormat="1" ht="15.75" thickBot="1">
      <c r="A133" s="12"/>
      <c r="B133" s="71"/>
      <c r="C133" s="72" t="s">
        <v>39</v>
      </c>
      <c r="D133" s="72"/>
      <c r="E133" s="82"/>
      <c r="F133" s="80">
        <f>F131-F132</f>
        <v>69004</v>
      </c>
      <c r="G133" s="75"/>
      <c r="H133" s="12"/>
      <c r="I133" s="12"/>
      <c r="M133" s="20"/>
      <c r="N133" s="21" t="s">
        <v>39</v>
      </c>
      <c r="O133" s="21"/>
      <c r="P133" s="33"/>
      <c r="Q133" s="30">
        <f>Q131-Q132</f>
        <v>142941.5</v>
      </c>
      <c r="R133" s="24"/>
    </row>
    <row r="134" spans="1:18" s="13" customFormat="1" ht="15.75" thickBot="1">
      <c r="A134" s="12"/>
      <c r="B134" s="71"/>
      <c r="C134" s="92" t="s">
        <v>68</v>
      </c>
      <c r="D134" s="72"/>
      <c r="E134" s="82"/>
      <c r="F134" s="98"/>
      <c r="G134" s="75"/>
      <c r="H134" s="12"/>
      <c r="I134" s="12"/>
      <c r="K134" s="13" t="str">
        <f>IF(Q134=F134,"Correct","Incorrect")</f>
        <v>Incorrect</v>
      </c>
      <c r="M134" s="20"/>
      <c r="N134" s="67" t="s">
        <v>68</v>
      </c>
      <c r="O134" s="21"/>
      <c r="P134" s="33"/>
      <c r="Q134" s="29">
        <f>Q57</f>
        <v>7900</v>
      </c>
      <c r="R134" s="24"/>
    </row>
    <row r="135" spans="1:18" s="13" customFormat="1">
      <c r="A135" s="12"/>
      <c r="B135" s="71"/>
      <c r="C135" s="72" t="s">
        <v>73</v>
      </c>
      <c r="D135" s="74"/>
      <c r="E135" s="79"/>
      <c r="F135" s="83">
        <f>F133+F134</f>
        <v>69004</v>
      </c>
      <c r="G135" s="75"/>
      <c r="H135" s="12"/>
      <c r="I135" s="12"/>
      <c r="M135" s="20"/>
      <c r="N135" s="21" t="s">
        <v>73</v>
      </c>
      <c r="O135" s="23"/>
      <c r="P135" s="29"/>
      <c r="Q135" s="34">
        <f>Q133+Q134</f>
        <v>150841.5</v>
      </c>
      <c r="R135" s="24"/>
    </row>
    <row r="136" spans="1:18" s="13" customFormat="1">
      <c r="A136" s="12"/>
      <c r="B136" s="71"/>
      <c r="C136" s="71"/>
      <c r="D136" s="71"/>
      <c r="E136" s="71"/>
      <c r="F136" s="87"/>
      <c r="G136" s="71"/>
      <c r="H136" s="12"/>
      <c r="I136" s="12"/>
      <c r="J136" s="13" t="s">
        <v>70</v>
      </c>
      <c r="K136" s="13">
        <f>COUNTIF(J38:K134,"Incorrect")</f>
        <v>28</v>
      </c>
      <c r="M136" s="20"/>
      <c r="N136" s="20"/>
      <c r="O136" s="20"/>
      <c r="P136" s="20"/>
      <c r="Q136" s="39"/>
      <c r="R136" s="20"/>
    </row>
    <row r="137" spans="1:18" s="13" customFormat="1">
      <c r="A137" s="12"/>
      <c r="B137" s="69"/>
      <c r="C137" s="69"/>
      <c r="D137" s="69"/>
      <c r="E137" s="69"/>
      <c r="F137" s="69"/>
      <c r="G137" s="69"/>
      <c r="H137" s="12"/>
      <c r="I137" s="12"/>
      <c r="J137" s="13" t="s">
        <v>71</v>
      </c>
      <c r="K137" s="13">
        <f>COUNTIF(J38:K134,"Correct")</f>
        <v>0</v>
      </c>
      <c r="M137" s="40"/>
      <c r="N137" s="40"/>
      <c r="O137" s="40"/>
      <c r="P137" s="40"/>
      <c r="Q137" s="40"/>
      <c r="R137" s="40"/>
    </row>
    <row r="138" spans="1:18"/>
    <row r="139" spans="1:18" hidden="1"/>
    <row r="140" spans="1:18" hidden="1"/>
    <row r="141" spans="1:18" hidden="1"/>
    <row r="142" spans="1:18" hidden="1"/>
    <row r="143" spans="1:18" hidden="1"/>
    <row r="144" spans="1:18" hidden="1"/>
    <row r="145" hidden="1"/>
    <row r="146" hidden="1"/>
    <row r="147" hidden="1"/>
  </sheetData>
  <sheetProtection algorithmName="SHA-512" hashValue="FmBK5xYGjMhv0/qvTxOjD1cYynwXhjAXSWgNKQTJFs0aL2axjFPrWMCadSGlJ/Paku8mHSST5FYpLDpGknWfbw==" saltValue="y08Y6e2c4/xMV4heIKs/AQ==" spinCount="100000" sheet="1" objects="1" scenarios="1"/>
  <sortState ref="J14:K22">
    <sortCondition ref="J14"/>
  </sortState>
  <mergeCells count="46">
    <mergeCell ref="M119:R119"/>
    <mergeCell ref="M57:O57"/>
    <mergeCell ref="M59:O59"/>
    <mergeCell ref="B57:D57"/>
    <mergeCell ref="B59:D59"/>
    <mergeCell ref="M76:O76"/>
    <mergeCell ref="B76:D76"/>
    <mergeCell ref="M73:Q73"/>
    <mergeCell ref="M83:R83"/>
    <mergeCell ref="M84:R84"/>
    <mergeCell ref="M118:R118"/>
    <mergeCell ref="M85:R85"/>
    <mergeCell ref="M117:R117"/>
    <mergeCell ref="B117:G117"/>
    <mergeCell ref="B118:G118"/>
    <mergeCell ref="B73:F73"/>
    <mergeCell ref="M3:R3"/>
    <mergeCell ref="M6:R6"/>
    <mergeCell ref="M7:R7"/>
    <mergeCell ref="M8:R8"/>
    <mergeCell ref="M37:R37"/>
    <mergeCell ref="M78:R80"/>
    <mergeCell ref="M49:Q49"/>
    <mergeCell ref="M55:Q55"/>
    <mergeCell ref="M61:R61"/>
    <mergeCell ref="M67:Q67"/>
    <mergeCell ref="B84:G84"/>
    <mergeCell ref="B85:G85"/>
    <mergeCell ref="B119:G119"/>
    <mergeCell ref="B37:G37"/>
    <mergeCell ref="B67:F67"/>
    <mergeCell ref="B83:G83"/>
    <mergeCell ref="B61:G61"/>
    <mergeCell ref="U7:Y7"/>
    <mergeCell ref="U11:Y11"/>
    <mergeCell ref="B43:F43"/>
    <mergeCell ref="B49:F49"/>
    <mergeCell ref="B55:F55"/>
    <mergeCell ref="M43:Q43"/>
    <mergeCell ref="A78:A80"/>
    <mergeCell ref="B1:G1"/>
    <mergeCell ref="B3:G3"/>
    <mergeCell ref="B6:G6"/>
    <mergeCell ref="B7:G7"/>
    <mergeCell ref="B8:G8"/>
    <mergeCell ref="B78:G80"/>
  </mergeCells>
  <conditionalFormatting sqref="C40">
    <cfRule type="cellIs" dxfId="28" priority="29" stopIfTrue="1" operator="notEqual">
      <formula>$N$40</formula>
    </cfRule>
  </conditionalFormatting>
  <conditionalFormatting sqref="C41">
    <cfRule type="cellIs" dxfId="27" priority="28" stopIfTrue="1" operator="notEqual">
      <formula>$N$41</formula>
    </cfRule>
  </conditionalFormatting>
  <conditionalFormatting sqref="E40">
    <cfRule type="cellIs" dxfId="26" priority="27" stopIfTrue="1" operator="notEqual">
      <formula>$P$40</formula>
    </cfRule>
  </conditionalFormatting>
  <conditionalFormatting sqref="F41">
    <cfRule type="cellIs" dxfId="25" priority="26" stopIfTrue="1" operator="notEqual">
      <formula>$Q$41</formula>
    </cfRule>
  </conditionalFormatting>
  <conditionalFormatting sqref="C46">
    <cfRule type="cellIs" dxfId="24" priority="25" stopIfTrue="1" operator="notEqual">
      <formula>$N$46</formula>
    </cfRule>
  </conditionalFormatting>
  <conditionalFormatting sqref="C47">
    <cfRule type="cellIs" dxfId="23" priority="24" stopIfTrue="1" operator="notEqual">
      <formula>$N$47</formula>
    </cfRule>
  </conditionalFormatting>
  <conditionalFormatting sqref="E46">
    <cfRule type="cellIs" dxfId="22" priority="23" stopIfTrue="1" operator="notEqual">
      <formula>$P$46</formula>
    </cfRule>
  </conditionalFormatting>
  <conditionalFormatting sqref="F47">
    <cfRule type="cellIs" dxfId="21" priority="22" stopIfTrue="1" operator="notEqual">
      <formula>$Q$47</formula>
    </cfRule>
  </conditionalFormatting>
  <conditionalFormatting sqref="C52">
    <cfRule type="cellIs" dxfId="20" priority="21" stopIfTrue="1" operator="notEqual">
      <formula>$N$52</formula>
    </cfRule>
  </conditionalFormatting>
  <conditionalFormatting sqref="C53">
    <cfRule type="cellIs" dxfId="19" priority="20" stopIfTrue="1" operator="notEqual">
      <formula>$N$53</formula>
    </cfRule>
  </conditionalFormatting>
  <conditionalFormatting sqref="E52">
    <cfRule type="cellIs" dxfId="18" priority="19" stopIfTrue="1" operator="notEqual">
      <formula>$P$52</formula>
    </cfRule>
  </conditionalFormatting>
  <conditionalFormatting sqref="F53">
    <cfRule type="cellIs" dxfId="17" priority="18" stopIfTrue="1" operator="notEqual">
      <formula>$Q$53</formula>
    </cfRule>
  </conditionalFormatting>
  <conditionalFormatting sqref="F57">
    <cfRule type="cellIs" dxfId="16" priority="17" stopIfTrue="1" operator="notEqual">
      <formula>$Q$57</formula>
    </cfRule>
  </conditionalFormatting>
  <conditionalFormatting sqref="F59">
    <cfRule type="cellIs" dxfId="15" priority="16" stopIfTrue="1" operator="notEqual">
      <formula>$Q$59</formula>
    </cfRule>
  </conditionalFormatting>
  <conditionalFormatting sqref="C64">
    <cfRule type="cellIs" dxfId="14" priority="15" stopIfTrue="1" operator="notEqual">
      <formula>$N$64</formula>
    </cfRule>
  </conditionalFormatting>
  <conditionalFormatting sqref="C65">
    <cfRule type="cellIs" dxfId="13" priority="14" stopIfTrue="1" operator="notEqual">
      <formula>$N$65</formula>
    </cfRule>
  </conditionalFormatting>
  <conditionalFormatting sqref="E64">
    <cfRule type="cellIs" dxfId="12" priority="13" stopIfTrue="1" operator="notEqual">
      <formula>$P$64</formula>
    </cfRule>
  </conditionalFormatting>
  <conditionalFormatting sqref="F65">
    <cfRule type="cellIs" dxfId="11" priority="12" stopIfTrue="1" operator="notEqual">
      <formula>$Q$65</formula>
    </cfRule>
  </conditionalFormatting>
  <conditionalFormatting sqref="C70">
    <cfRule type="cellIs" dxfId="10" priority="11" stopIfTrue="1" operator="notEqual">
      <formula>$N$70</formula>
    </cfRule>
  </conditionalFormatting>
  <conditionalFormatting sqref="C71">
    <cfRule type="cellIs" dxfId="9" priority="10" stopIfTrue="1" operator="notEqual">
      <formula>$N$71</formula>
    </cfRule>
  </conditionalFormatting>
  <conditionalFormatting sqref="E70">
    <cfRule type="cellIs" dxfId="8" priority="9" stopIfTrue="1" operator="notEqual">
      <formula>$P$70</formula>
    </cfRule>
  </conditionalFormatting>
  <conditionalFormatting sqref="F71">
    <cfRule type="cellIs" dxfId="7" priority="8" stopIfTrue="1" operator="notEqual">
      <formula>$Q$71</formula>
    </cfRule>
  </conditionalFormatting>
  <conditionalFormatting sqref="F76">
    <cfRule type="cellIs" dxfId="6" priority="7" stopIfTrue="1" operator="notEqual">
      <formula>$Q$76</formula>
    </cfRule>
  </conditionalFormatting>
  <conditionalFormatting sqref="E92">
    <cfRule type="cellIs" dxfId="5" priority="6" stopIfTrue="1" operator="notEqual">
      <formula>$P$92</formula>
    </cfRule>
  </conditionalFormatting>
  <conditionalFormatting sqref="E93">
    <cfRule type="cellIs" dxfId="4" priority="5" stopIfTrue="1" operator="notEqual">
      <formula>$P$93</formula>
    </cfRule>
  </conditionalFormatting>
  <conditionalFormatting sqref="E108">
    <cfRule type="cellIs" dxfId="3" priority="4" stopIfTrue="1" operator="notEqual">
      <formula>$P$108</formula>
    </cfRule>
  </conditionalFormatting>
  <conditionalFormatting sqref="D132">
    <cfRule type="cellIs" dxfId="2" priority="3" stopIfTrue="1" operator="notEqual">
      <formula>$O$132</formula>
    </cfRule>
  </conditionalFormatting>
  <conditionalFormatting sqref="E130">
    <cfRule type="cellIs" dxfId="1" priority="2" stopIfTrue="1" operator="notEqual">
      <formula>$P$130</formula>
    </cfRule>
  </conditionalFormatting>
  <conditionalFormatting sqref="F134">
    <cfRule type="cellIs" dxfId="0" priority="1" stopIfTrue="1" operator="notEqual">
      <formula>$Q$134</formula>
    </cfRule>
  </conditionalFormatting>
  <dataValidations count="2">
    <dataValidation type="list" showInputMessage="1" showErrorMessage="1" sqref="C40:C41 C46:C47 C52:C53 C64:C65 C70:C71" xr:uid="{00000000-0002-0000-0100-000000000000}">
      <formula1>Accounts</formula1>
    </dataValidation>
    <dataValidation type="list" showInputMessage="1" showErrorMessage="1" sqref="E40 F41 E46 F47 E52 F53 E64 F65 F57 F59 E70 F71 F76 E92:E93 D130:E130 F134 E108" xr:uid="{00000000-0002-0000-0100-000001000000}">
      <formula1>Values</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Identification</vt:lpstr>
      <vt:lpstr>Problem</vt:lpstr>
      <vt:lpstr>Accounts</vt:lpstr>
      <vt:lpstr>Values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lmwal_000</cp:lastModifiedBy>
  <dcterms:created xsi:type="dcterms:W3CDTF">2017-06-19T16:59:07Z</dcterms:created>
  <dcterms:modified xsi:type="dcterms:W3CDTF">2017-08-19T14:08:27Z</dcterms:modified>
</cp:coreProperties>
</file>